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6860" windowHeight="9645" activeTab="6"/>
  </bookViews>
  <sheets>
    <sheet name="Gulve" sheetId="1" r:id="rId1"/>
    <sheet name="Drift og vedlighold" sheetId="2" r:id="rId2"/>
    <sheet name="Rilleskæring" sheetId="3" r:id="rId3"/>
    <sheet name="Gummigulv" sheetId="4" r:id="rId4"/>
    <sheet name="Overbrusning" sheetId="5" r:id="rId5"/>
    <sheet name="Gylleværdi" sheetId="6" r:id="rId6"/>
    <sheet name="Årlige omkostninger" sheetId="7" r:id="rId7"/>
  </sheets>
  <definedNames/>
  <calcPr fullCalcOnLoad="1"/>
</workbook>
</file>

<file path=xl/comments1.xml><?xml version="1.0" encoding="utf-8"?>
<comments xmlns="http://schemas.openxmlformats.org/spreadsheetml/2006/main">
  <authors>
    <author>LR? LR?</author>
  </authors>
  <commentList>
    <comment ref="B20" authorId="0">
      <text>
        <r>
          <rPr>
            <b/>
            <sz val="8"/>
            <rFont val="Tahoma"/>
            <family val="0"/>
          </rPr>
          <t>LRØ LRØ:</t>
        </r>
        <r>
          <rPr>
            <sz val="8"/>
            <rFont val="Tahoma"/>
            <family val="0"/>
          </rPr>
          <t xml:space="preserve">
Prisoverslag er indhentet hos LJM d. 03 og 04.09.2009.</t>
        </r>
      </text>
    </comment>
    <comment ref="B14" authorId="0">
      <text>
        <r>
          <rPr>
            <b/>
            <sz val="8"/>
            <rFont val="Tahoma"/>
            <family val="0"/>
          </rPr>
          <t>LRØ LRØ:</t>
        </r>
        <r>
          <rPr>
            <sz val="8"/>
            <rFont val="Tahoma"/>
            <family val="0"/>
          </rPr>
          <t xml:space="preserve">
Pris på gulvelement indhentet hos Perstrup d. 4. sep. 2009.</t>
        </r>
      </text>
    </comment>
    <comment ref="B17" authorId="0">
      <text>
        <r>
          <rPr>
            <b/>
            <sz val="8"/>
            <rFont val="Tahoma"/>
            <family val="0"/>
          </rPr>
          <t>LRØ LRØ:</t>
        </r>
        <r>
          <rPr>
            <sz val="8"/>
            <rFont val="Tahoma"/>
            <family val="0"/>
          </rPr>
          <t xml:space="preserve">
Der er ikke medtaget omkostninger, hvor de to staldsystemer er ens.</t>
        </r>
      </text>
    </comment>
  </commentList>
</comments>
</file>

<file path=xl/comments2.xml><?xml version="1.0" encoding="utf-8"?>
<comments xmlns="http://schemas.openxmlformats.org/spreadsheetml/2006/main">
  <authors>
    <author>LR? LR?</author>
  </authors>
  <commentList>
    <comment ref="B25" authorId="0">
      <text>
        <r>
          <rPr>
            <b/>
            <sz val="8"/>
            <rFont val="Tahoma"/>
            <family val="0"/>
          </rPr>
          <t>LRØ LRØ:</t>
        </r>
        <r>
          <rPr>
            <sz val="8"/>
            <rFont val="Tahoma"/>
            <family val="0"/>
          </rPr>
          <t xml:space="preserve">
Denne pris er inkl. vand, opbevaring og udbringning. Kilde: Farmtest Kvæg nr. 11.</t>
        </r>
      </text>
    </comment>
  </commentList>
</comments>
</file>

<file path=xl/comments3.xml><?xml version="1.0" encoding="utf-8"?>
<comments xmlns="http://schemas.openxmlformats.org/spreadsheetml/2006/main">
  <authors>
    <author>LR? LR?</author>
  </authors>
  <commentList>
    <comment ref="D21" authorId="0">
      <text>
        <r>
          <rPr>
            <b/>
            <sz val="8"/>
            <rFont val="Tahoma"/>
            <family val="0"/>
          </rPr>
          <t>LRØ LRØ:</t>
        </r>
        <r>
          <rPr>
            <sz val="8"/>
            <rFont val="Tahoma"/>
            <family val="0"/>
          </rPr>
          <t xml:space="preserve">
Jf. skitser</t>
        </r>
      </text>
    </comment>
  </commentList>
</comments>
</file>

<file path=xl/comments5.xml><?xml version="1.0" encoding="utf-8"?>
<comments xmlns="http://schemas.openxmlformats.org/spreadsheetml/2006/main">
  <authors>
    <author>LR? LR?</author>
  </authors>
  <commentList>
    <comment ref="B10" authorId="0">
      <text>
        <r>
          <rPr>
            <b/>
            <sz val="8"/>
            <rFont val="Tahoma"/>
            <family val="0"/>
          </rPr>
          <t>LRØ LRØ:</t>
        </r>
        <r>
          <rPr>
            <sz val="8"/>
            <rFont val="Tahoma"/>
            <family val="0"/>
          </rPr>
          <t xml:space="preserve">
Målt på principskitser</t>
        </r>
      </text>
    </comment>
    <comment ref="B12" authorId="0">
      <text>
        <r>
          <rPr>
            <b/>
            <sz val="8"/>
            <rFont val="Tahoma"/>
            <family val="0"/>
          </rPr>
          <t>LRØ LRØ:</t>
        </r>
        <r>
          <rPr>
            <sz val="8"/>
            <rFont val="Tahoma"/>
            <family val="0"/>
          </rPr>
          <t xml:space="preserve">
Kilde: Overbrusning af gulve i kvægstalde, info nr. 1378. Dansk Landbrugsrådgivning 2004.</t>
        </r>
      </text>
    </comment>
  </commentList>
</comments>
</file>

<file path=xl/sharedStrings.xml><?xml version="1.0" encoding="utf-8"?>
<sst xmlns="http://schemas.openxmlformats.org/spreadsheetml/2006/main" count="218" uniqueCount="127">
  <si>
    <t>Faste drænede gulve</t>
  </si>
  <si>
    <t>DE</t>
  </si>
  <si>
    <t>Gennemsnit</t>
  </si>
  <si>
    <t>Kr./ DE</t>
  </si>
  <si>
    <t>Rilleskæring</t>
  </si>
  <si>
    <t>Vesthimmerlands vikar</t>
  </si>
  <si>
    <t>Knud Iversen</t>
  </si>
  <si>
    <t>Henry Hansen</t>
  </si>
  <si>
    <t>Jesper Thorsen</t>
  </si>
  <si>
    <t>Startgebyr</t>
  </si>
  <si>
    <t>kr./ m2</t>
  </si>
  <si>
    <t>Min</t>
  </si>
  <si>
    <t>Max</t>
  </si>
  <si>
    <t>Min.</t>
  </si>
  <si>
    <t>Max.</t>
  </si>
  <si>
    <t>Pr. kvm</t>
  </si>
  <si>
    <t xml:space="preserve">Kilde: </t>
  </si>
  <si>
    <t>Farmtest – Kvæg nr. 53 – 2007 – Rilleskæring af gulve i kvægstalde – Dansk Landbrugsrådgivning - Dansk Kvæg</t>
  </si>
  <si>
    <t>Kr. i alt</t>
  </si>
  <si>
    <t>Teknik</t>
  </si>
  <si>
    <t>El</t>
  </si>
  <si>
    <t>Data grundlag</t>
  </si>
  <si>
    <t>Kg N i reference stald</t>
  </si>
  <si>
    <t>Kg N</t>
  </si>
  <si>
    <t>Kg N i stald med fast drænet gulv</t>
  </si>
  <si>
    <t>Kr. pr. fortrængt kg N</t>
  </si>
  <si>
    <t>Kr. pr. enhed (DE)</t>
  </si>
  <si>
    <t xml:space="preserve">Forskel </t>
  </si>
  <si>
    <t xml:space="preserve"> - Kvm fra fra prisoverslag</t>
  </si>
  <si>
    <t>Fast gulv</t>
  </si>
  <si>
    <t>Spalte gulv</t>
  </si>
  <si>
    <t>Gulv som skal rilleskæres</t>
  </si>
  <si>
    <t>Spalter</t>
  </si>
  <si>
    <t>Sammenlagt</t>
  </si>
  <si>
    <t>Gummi</t>
  </si>
  <si>
    <t xml:space="preserve"> - Kvm fra fra skitser</t>
  </si>
  <si>
    <t>Total m. rilleskæring</t>
  </si>
  <si>
    <t>Præfabrikerede faste drænede gulve</t>
  </si>
  <si>
    <t>Gennemsnit gulve</t>
  </si>
  <si>
    <t>Skridsikring</t>
  </si>
  <si>
    <t>Færdig gulv</t>
  </si>
  <si>
    <t xml:space="preserve">Forskel  </t>
  </si>
  <si>
    <t>Total</t>
  </si>
  <si>
    <t>Forudsætninger</t>
  </si>
  <si>
    <t>kr./ kWh</t>
  </si>
  <si>
    <t>kWh/ ko</t>
  </si>
  <si>
    <t>Vand</t>
  </si>
  <si>
    <t>kr./ mandetime</t>
  </si>
  <si>
    <t xml:space="preserve"> "varme" dage/ år</t>
  </si>
  <si>
    <t>m3/ ko/ år ved 60 varmedage</t>
  </si>
  <si>
    <t>kr./ m3 vand</t>
  </si>
  <si>
    <t>m3/ ko/ varmedag</t>
  </si>
  <si>
    <t>Kr./ år</t>
  </si>
  <si>
    <t>Vedligehold</t>
  </si>
  <si>
    <t>Kendes ikke på nuværende tidspunkt</t>
  </si>
  <si>
    <t>Kr./ sparet N</t>
  </si>
  <si>
    <t>Samlet</t>
  </si>
  <si>
    <t>Overbrusning</t>
  </si>
  <si>
    <t>m overbrusning/ ko</t>
  </si>
  <si>
    <t>DE/ ko</t>
  </si>
  <si>
    <t>kr./ m overbrusnings anlæg</t>
  </si>
  <si>
    <t>Kr.</t>
  </si>
  <si>
    <t>Kg N/DE</t>
  </si>
  <si>
    <t>KgN/ko</t>
  </si>
  <si>
    <t>Kg N/DE Fast drænet gulv</t>
  </si>
  <si>
    <t>kg N/DE  Referencestald</t>
  </si>
  <si>
    <t>m3/ gylle/ DE</t>
  </si>
  <si>
    <t>kr./S</t>
  </si>
  <si>
    <t>Kr./N</t>
  </si>
  <si>
    <t>Forudsætninger:</t>
  </si>
  <si>
    <t>Gylleværdi drænet gulv</t>
  </si>
  <si>
    <t>Gylle ton i alt</t>
  </si>
  <si>
    <t>Værdi/DE</t>
  </si>
  <si>
    <t>Gylleværdi i Kr./DE</t>
  </si>
  <si>
    <t>Forskel fordel drænet</t>
  </si>
  <si>
    <t>Ammonium-N/ton (N-indhold)</t>
  </si>
  <si>
    <t>Gylleværdi reference</t>
  </si>
  <si>
    <t>Kg N/ko</t>
  </si>
  <si>
    <t>Kg N/ DE</t>
  </si>
  <si>
    <t>Kilde: Priser fra Dan Egtved d. 20.08.09. Opgivet pr. m2 (der gives op til 15 % rabat).</t>
  </si>
  <si>
    <t>Kommentarer</t>
  </si>
  <si>
    <t>Forskel fra ref. gulv til gennemsnittet af faste drænede gulv</t>
  </si>
  <si>
    <t>Den svingende pris på fortrængt kg N og pr. DE, skyldes de konkretet gyllesystemer i de skitser, der ligger til grund for prisudregningerne. Dvs. at hvis man har en given stald og gerne vil udvide denne til at kunne rumme nogle flere DE, kan disse ekstra DE gøre, at gødningshåndteringen bliver uforholdsvis dyr, for de sidste DE. Det vur-deres dog, at det samlet giver et retvisende billede, på en besparelse på 669 kr. til en udgift på 661 kr./ DE, set i forhold til referencesystemet. Svarer til en besparelse på 166 kr. til en udgift på 164 kr./ sparet kg N.</t>
  </si>
  <si>
    <t>Gens.</t>
  </si>
  <si>
    <t>Gulvtyper</t>
  </si>
  <si>
    <t>Antal DE</t>
  </si>
  <si>
    <t>Driftsøkonomisk omkostning pr.kg. N reduceret</t>
  </si>
  <si>
    <t>Værdi af sparet handelsgødning</t>
  </si>
  <si>
    <t>Investeringer, staldsystem, reference</t>
  </si>
  <si>
    <t>Levetid</t>
  </si>
  <si>
    <t>Årlige omkostninger</t>
  </si>
  <si>
    <t>Investeringer, faste gulve</t>
  </si>
  <si>
    <t>Gennemsnitsinvesteringer</t>
  </si>
  <si>
    <t>Årlige omkostninger, investeringer</t>
  </si>
  <si>
    <t xml:space="preserve">Rente </t>
  </si>
  <si>
    <t>I alt</t>
  </si>
  <si>
    <t>Amminiakreduktion</t>
  </si>
  <si>
    <t>Ammoniakreduktion pr. DE</t>
  </si>
  <si>
    <t>kg N</t>
  </si>
  <si>
    <t>Antal DE pr. årsko</t>
  </si>
  <si>
    <t xml:space="preserve">Samlet driftsøkonomisk omkostning inkl. værdi af N </t>
  </si>
  <si>
    <t>Driftsøkonomisk omkostning pr.kg. N reduceret inkl, værdien af N</t>
  </si>
  <si>
    <t>Investering, overbrusningsanlæg</t>
  </si>
  <si>
    <t>Merforbrug</t>
  </si>
  <si>
    <t>el</t>
  </si>
  <si>
    <t>vand</t>
  </si>
  <si>
    <t>Kr./ kg N</t>
  </si>
  <si>
    <t>Teknik (gødningshåndtering)</t>
  </si>
  <si>
    <t>Årlige omkostninger, teknik</t>
  </si>
  <si>
    <t>Årlige omkostninger, skridsikring</t>
  </si>
  <si>
    <t>Driftsøkonomisk omkostning pr. DE</t>
  </si>
  <si>
    <t>Driftsøkonomisk omkostning pr. DE inkl. værdien af N</t>
  </si>
  <si>
    <t>Mulig meromkostning til at sikre skridsikkerhed</t>
  </si>
  <si>
    <t>Jord og betonarbejde</t>
  </si>
  <si>
    <t>Reference priser (spaltestald)</t>
  </si>
  <si>
    <t>Jord- og betonarbejde</t>
  </si>
  <si>
    <t>Årlige omkostninger, jord- og betonarbejde</t>
  </si>
  <si>
    <t>Årlige omkostninger, spalter</t>
  </si>
  <si>
    <t>Driftsøkonomisk omkost. pr. DE inkl. omkost. til skridsikring og værdi af N</t>
  </si>
  <si>
    <t xml:space="preserve">Samlet driftsøkonomiske omkost. inkl. omkost. til skridsikring og værdi af N </t>
  </si>
  <si>
    <t>Samlet meromkostning og -forbrug pr. år</t>
  </si>
  <si>
    <t>Denne række skal med over i beskrivelsen</t>
  </si>
  <si>
    <t xml:space="preserve">Samlet årlig meromkostning til faste gulve </t>
  </si>
  <si>
    <t xml:space="preserve">Driftsomkostninger </t>
  </si>
  <si>
    <t>Driftsøkonomiske meromkostninger pr. DE til skridsikring</t>
  </si>
  <si>
    <t>Driftsøkonomisk omkost. pr. kg. N reduceret inkl. omkost. til skridsikring og værdi af N</t>
  </si>
  <si>
    <t>Dette tal er med i beskrivelse</t>
  </si>
</sst>
</file>

<file path=xl/styles.xml><?xml version="1.0" encoding="utf-8"?>
<styleSheet xmlns="http://schemas.openxmlformats.org/spreadsheetml/2006/main">
  <numFmts count="2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_(* #,##0.0_);_(* \(#,##0.0\);_(* &quot;-&quot;??_);_(@_)"/>
    <numFmt numFmtId="165" formatCode="_(* #,##0_);_(* \(#,##0\);_(* &quot;-&quot;??_);_(@_)"/>
    <numFmt numFmtId="166" formatCode="0.000000"/>
    <numFmt numFmtId="167" formatCode="0.00000"/>
    <numFmt numFmtId="168" formatCode="0.0000"/>
    <numFmt numFmtId="169" formatCode="0.000"/>
    <numFmt numFmtId="170" formatCode="&quot;Ja&quot;;&quot;Ja&quot;;&quot;Nej&quot;"/>
    <numFmt numFmtId="171" formatCode="&quot;Sand&quot;;&quot;Sand&quot;;&quot;Falsk&quot;"/>
    <numFmt numFmtId="172" formatCode="&quot;Til&quot;;&quot;Til&quot;;&quot;Fra&quot;"/>
    <numFmt numFmtId="173" formatCode="[$€-2]\ #.##000_);[Red]\([$€-2]\ #.##000\)"/>
    <numFmt numFmtId="174" formatCode="#,##0.0"/>
    <numFmt numFmtId="175" formatCode="0.0"/>
    <numFmt numFmtId="176" formatCode="_(* #,##0.000_);_(* \(#,##0.000\);_(* &quot;-&quot;??_);_(@_)"/>
  </numFmts>
  <fonts count="13">
    <font>
      <sz val="10"/>
      <name val="Arial"/>
      <family val="0"/>
    </font>
    <font>
      <sz val="8"/>
      <name val="Arial"/>
      <family val="0"/>
    </font>
    <font>
      <sz val="12"/>
      <name val="Arial"/>
      <family val="0"/>
    </font>
    <font>
      <b/>
      <sz val="12"/>
      <name val="Arial"/>
      <family val="2"/>
    </font>
    <font>
      <b/>
      <sz val="10"/>
      <name val="Arial"/>
      <family val="2"/>
    </font>
    <font>
      <sz val="11"/>
      <name val="Arial"/>
      <family val="2"/>
    </font>
    <font>
      <sz val="8"/>
      <name val="Tahoma"/>
      <family val="0"/>
    </font>
    <font>
      <b/>
      <sz val="8"/>
      <name val="Tahoma"/>
      <family val="0"/>
    </font>
    <font>
      <sz val="10"/>
      <color indexed="10"/>
      <name val="Arial"/>
      <family val="0"/>
    </font>
    <font>
      <u val="single"/>
      <sz val="10"/>
      <color indexed="12"/>
      <name val="Arial"/>
      <family val="0"/>
    </font>
    <font>
      <u val="single"/>
      <sz val="10"/>
      <color indexed="36"/>
      <name val="Arial"/>
      <family val="0"/>
    </font>
    <font>
      <sz val="8"/>
      <name val="Verdana"/>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color indexed="63"/>
      </right>
      <top style="medium"/>
      <bottom style="medium"/>
    </border>
    <border>
      <left style="thin"/>
      <right>
        <color indexed="63"/>
      </right>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style="thin"/>
      <bottom style="thin"/>
    </border>
    <border>
      <left style="medium"/>
      <right style="medium"/>
      <top>
        <color indexed="63"/>
      </top>
      <bottom style="thin"/>
    </border>
    <border>
      <left style="medium"/>
      <right style="medium"/>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9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2" fillId="0" borderId="0" xfId="0" applyFont="1" applyAlignment="1">
      <alignment/>
    </xf>
    <xf numFmtId="0" fontId="3" fillId="0" borderId="0" xfId="0" applyFont="1" applyAlignment="1">
      <alignment/>
    </xf>
    <xf numFmtId="0" fontId="4"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165" fontId="0" fillId="0" borderId="0" xfId="0" applyNumberFormat="1" applyBorder="1" applyAlignment="1">
      <alignment/>
    </xf>
    <xf numFmtId="165" fontId="0" fillId="0" borderId="8" xfId="0" applyNumberFormat="1" applyBorder="1" applyAlignment="1">
      <alignment/>
    </xf>
    <xf numFmtId="43" fontId="0" fillId="0" borderId="8" xfId="15" applyNumberFormat="1" applyBorder="1" applyAlignment="1">
      <alignment/>
    </xf>
    <xf numFmtId="0" fontId="0" fillId="0" borderId="9" xfId="0" applyBorder="1" applyAlignment="1">
      <alignment/>
    </xf>
    <xf numFmtId="0" fontId="0" fillId="0" borderId="10" xfId="0" applyBorder="1" applyAlignment="1">
      <alignment/>
    </xf>
    <xf numFmtId="0" fontId="0" fillId="0" borderId="4" xfId="0" applyBorder="1" applyAlignment="1">
      <alignment/>
    </xf>
    <xf numFmtId="0" fontId="0" fillId="0" borderId="11" xfId="0" applyBorder="1" applyAlignment="1">
      <alignment/>
    </xf>
    <xf numFmtId="165" fontId="0" fillId="0" borderId="0" xfId="15" applyNumberFormat="1" applyBorder="1" applyAlignment="1">
      <alignment/>
    </xf>
    <xf numFmtId="165" fontId="0" fillId="0" borderId="8" xfId="15" applyNumberFormat="1" applyBorder="1" applyAlignment="1">
      <alignment/>
    </xf>
    <xf numFmtId="0" fontId="0" fillId="0" borderId="12" xfId="0" applyBorder="1" applyAlignment="1">
      <alignment/>
    </xf>
    <xf numFmtId="165" fontId="0" fillId="0" borderId="12" xfId="0" applyNumberFormat="1" applyBorder="1" applyAlignment="1">
      <alignment/>
    </xf>
    <xf numFmtId="165" fontId="0" fillId="0" borderId="13" xfId="0" applyNumberFormat="1" applyBorder="1" applyAlignment="1">
      <alignment/>
    </xf>
    <xf numFmtId="0" fontId="5" fillId="0" borderId="0" xfId="0" applyFont="1" applyAlignment="1">
      <alignment/>
    </xf>
    <xf numFmtId="165" fontId="0" fillId="0" borderId="1" xfId="0" applyNumberFormat="1" applyBorder="1" applyAlignment="1">
      <alignment/>
    </xf>
    <xf numFmtId="43" fontId="0" fillId="0" borderId="1" xfId="15" applyNumberFormat="1" applyBorder="1" applyAlignment="1">
      <alignment/>
    </xf>
    <xf numFmtId="0" fontId="0" fillId="0" borderId="14" xfId="0" applyBorder="1" applyAlignment="1">
      <alignment/>
    </xf>
    <xf numFmtId="165" fontId="0" fillId="0" borderId="14" xfId="0" applyNumberFormat="1" applyBorder="1" applyAlignment="1">
      <alignment/>
    </xf>
    <xf numFmtId="165" fontId="0" fillId="0" borderId="15" xfId="0" applyNumberFormat="1" applyBorder="1" applyAlignment="1">
      <alignment/>
    </xf>
    <xf numFmtId="165" fontId="0" fillId="0" borderId="3" xfId="0" applyNumberFormat="1" applyBorder="1" applyAlignment="1">
      <alignment/>
    </xf>
    <xf numFmtId="165" fontId="0" fillId="0" borderId="16" xfId="0" applyNumberFormat="1" applyBorder="1" applyAlignment="1">
      <alignment/>
    </xf>
    <xf numFmtId="43" fontId="0" fillId="0" borderId="3" xfId="15" applyNumberFormat="1" applyBorder="1" applyAlignment="1">
      <alignment/>
    </xf>
    <xf numFmtId="43" fontId="0" fillId="0" borderId="16" xfId="15" applyNumberFormat="1" applyBorder="1" applyAlignment="1">
      <alignment/>
    </xf>
    <xf numFmtId="0" fontId="4" fillId="0" borderId="7" xfId="0" applyFont="1" applyBorder="1" applyAlignment="1">
      <alignment/>
    </xf>
    <xf numFmtId="0" fontId="4" fillId="0" borderId="3" xfId="0" applyFont="1" applyBorder="1" applyAlignment="1">
      <alignment/>
    </xf>
    <xf numFmtId="0" fontId="4" fillId="0" borderId="16" xfId="0" applyFont="1" applyBorder="1" applyAlignment="1">
      <alignment/>
    </xf>
    <xf numFmtId="1" fontId="0" fillId="0" borderId="0" xfId="0" applyNumberFormat="1" applyAlignment="1">
      <alignment/>
    </xf>
    <xf numFmtId="165" fontId="0" fillId="0" borderId="2" xfId="15" applyNumberFormat="1" applyBorder="1" applyAlignment="1">
      <alignment/>
    </xf>
    <xf numFmtId="165" fontId="0" fillId="0" borderId="16" xfId="15" applyNumberFormat="1" applyBorder="1" applyAlignment="1">
      <alignment/>
    </xf>
    <xf numFmtId="0" fontId="0" fillId="0" borderId="13" xfId="0" applyBorder="1" applyAlignment="1">
      <alignment/>
    </xf>
    <xf numFmtId="0" fontId="0" fillId="0" borderId="17" xfId="0" applyBorder="1" applyAlignment="1">
      <alignment/>
    </xf>
    <xf numFmtId="2" fontId="0" fillId="0" borderId="0" xfId="0" applyNumberFormat="1" applyAlignment="1">
      <alignment/>
    </xf>
    <xf numFmtId="0" fontId="0" fillId="0" borderId="16" xfId="0" applyBorder="1" applyAlignment="1">
      <alignment/>
    </xf>
    <xf numFmtId="165" fontId="0" fillId="0" borderId="12" xfId="15" applyNumberFormat="1" applyBorder="1" applyAlignment="1">
      <alignment/>
    </xf>
    <xf numFmtId="165" fontId="0" fillId="0" borderId="13" xfId="15" applyNumberFormat="1" applyBorder="1" applyAlignment="1">
      <alignment/>
    </xf>
    <xf numFmtId="0" fontId="4" fillId="0" borderId="18" xfId="0" applyFont="1"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22" xfId="0" applyBorder="1" applyAlignment="1">
      <alignment/>
    </xf>
    <xf numFmtId="3" fontId="0" fillId="0" borderId="0" xfId="15" applyNumberFormat="1" applyBorder="1" applyAlignment="1">
      <alignment/>
    </xf>
    <xf numFmtId="0" fontId="4" fillId="0" borderId="9"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Alignment="1">
      <alignment/>
    </xf>
    <xf numFmtId="0" fontId="0" fillId="0" borderId="23" xfId="0" applyBorder="1" applyAlignment="1">
      <alignment/>
    </xf>
    <xf numFmtId="0" fontId="4" fillId="0" borderId="2" xfId="0" applyFont="1" applyBorder="1" applyAlignment="1">
      <alignment/>
    </xf>
    <xf numFmtId="0" fontId="2" fillId="0" borderId="0" xfId="0" applyFont="1" applyAlignment="1">
      <alignment/>
    </xf>
    <xf numFmtId="0" fontId="2" fillId="0" borderId="1"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4" fontId="0" fillId="0" borderId="0" xfId="0" applyNumberFormat="1" applyAlignment="1">
      <alignment/>
    </xf>
    <xf numFmtId="0" fontId="4" fillId="0" borderId="8" xfId="0" applyFont="1" applyBorder="1" applyAlignment="1">
      <alignment/>
    </xf>
    <xf numFmtId="0" fontId="4" fillId="0" borderId="0" xfId="0" applyFont="1" applyBorder="1" applyAlignment="1">
      <alignment/>
    </xf>
    <xf numFmtId="165" fontId="0" fillId="0" borderId="27" xfId="0" applyNumberFormat="1" applyBorder="1" applyAlignment="1">
      <alignment/>
    </xf>
    <xf numFmtId="165" fontId="0" fillId="0" borderId="0" xfId="0" applyNumberFormat="1" applyAlignment="1">
      <alignment/>
    </xf>
    <xf numFmtId="0" fontId="4" fillId="0" borderId="28" xfId="0" applyFont="1" applyBorder="1" applyAlignment="1">
      <alignment/>
    </xf>
    <xf numFmtId="0" fontId="4" fillId="0" borderId="29" xfId="0" applyFont="1" applyBorder="1" applyAlignment="1">
      <alignment/>
    </xf>
    <xf numFmtId="0" fontId="0" fillId="0" borderId="30" xfId="0" applyBorder="1" applyAlignment="1">
      <alignment/>
    </xf>
    <xf numFmtId="0" fontId="0" fillId="0" borderId="25" xfId="0" applyBorder="1" applyAlignment="1">
      <alignment/>
    </xf>
    <xf numFmtId="0" fontId="0" fillId="0" borderId="26" xfId="0" applyBorder="1" applyAlignment="1">
      <alignment/>
    </xf>
    <xf numFmtId="0" fontId="4" fillId="0" borderId="19" xfId="0" applyFont="1" applyBorder="1" applyAlignment="1">
      <alignment/>
    </xf>
    <xf numFmtId="0" fontId="0" fillId="0" borderId="31" xfId="0" applyBorder="1" applyAlignment="1">
      <alignment/>
    </xf>
    <xf numFmtId="0" fontId="8" fillId="0" borderId="0" xfId="0" applyFont="1" applyAlignment="1">
      <alignment/>
    </xf>
    <xf numFmtId="2" fontId="0" fillId="0" borderId="0" xfId="0" applyNumberFormat="1" applyAlignment="1">
      <alignment vertical="top" wrapText="1"/>
    </xf>
    <xf numFmtId="0" fontId="4" fillId="0" borderId="10" xfId="0" applyFont="1" applyBorder="1" applyAlignment="1">
      <alignment/>
    </xf>
    <xf numFmtId="3" fontId="0" fillId="0" borderId="1" xfId="15" applyNumberFormat="1" applyBorder="1" applyAlignment="1">
      <alignment/>
    </xf>
    <xf numFmtId="165" fontId="0" fillId="0" borderId="28" xfId="15" applyNumberFormat="1" applyBorder="1" applyAlignment="1">
      <alignment/>
    </xf>
    <xf numFmtId="0" fontId="4" fillId="0" borderId="0" xfId="0" applyFont="1" applyFill="1" applyAlignment="1">
      <alignment/>
    </xf>
    <xf numFmtId="0" fontId="0" fillId="0" borderId="0" xfId="0" applyFill="1" applyAlignment="1">
      <alignment/>
    </xf>
    <xf numFmtId="9" fontId="0" fillId="0" borderId="0" xfId="0" applyNumberFormat="1" applyFill="1" applyAlignment="1">
      <alignment/>
    </xf>
    <xf numFmtId="0" fontId="0" fillId="0" borderId="32" xfId="0" applyFill="1" applyBorder="1" applyAlignment="1">
      <alignment/>
    </xf>
    <xf numFmtId="0" fontId="0" fillId="0" borderId="0" xfId="0" applyAlignment="1">
      <alignment/>
    </xf>
    <xf numFmtId="0" fontId="0" fillId="2" borderId="32" xfId="0" applyFill="1" applyBorder="1" applyAlignment="1">
      <alignment/>
    </xf>
    <xf numFmtId="0" fontId="0" fillId="0" borderId="0" xfId="0" applyFont="1" applyFill="1" applyAlignment="1">
      <alignment/>
    </xf>
    <xf numFmtId="0" fontId="4" fillId="0" borderId="0" xfId="0" applyFont="1" applyFill="1" applyBorder="1" applyAlignment="1">
      <alignment/>
    </xf>
    <xf numFmtId="165" fontId="0" fillId="0" borderId="0" xfId="15" applyNumberFormat="1" applyAlignment="1">
      <alignment/>
    </xf>
    <xf numFmtId="165" fontId="0" fillId="0" borderId="0" xfId="15" applyNumberFormat="1" applyFill="1" applyAlignment="1">
      <alignment/>
    </xf>
    <xf numFmtId="0" fontId="0" fillId="0" borderId="33" xfId="0" applyBorder="1" applyAlignment="1">
      <alignment/>
    </xf>
    <xf numFmtId="0" fontId="0" fillId="0" borderId="34" xfId="0" applyBorder="1" applyAlignment="1">
      <alignment/>
    </xf>
    <xf numFmtId="0" fontId="4" fillId="0" borderId="34" xfId="0" applyFont="1" applyBorder="1" applyAlignment="1">
      <alignment/>
    </xf>
    <xf numFmtId="0" fontId="0" fillId="0" borderId="33" xfId="0" applyFont="1" applyBorder="1" applyAlignment="1">
      <alignment/>
    </xf>
    <xf numFmtId="0" fontId="0" fillId="0" borderId="34" xfId="0" applyFill="1" applyBorder="1" applyAlignment="1">
      <alignment/>
    </xf>
    <xf numFmtId="2" fontId="0" fillId="0" borderId="12" xfId="0" applyNumberFormat="1" applyBorder="1" applyAlignment="1">
      <alignment/>
    </xf>
    <xf numFmtId="49" fontId="11" fillId="0" borderId="0" xfId="0" applyNumberFormat="1" applyFont="1" applyBorder="1" applyAlignment="1">
      <alignment horizontal="left" vertical="top"/>
    </xf>
    <xf numFmtId="3" fontId="4" fillId="0" borderId="2" xfId="15" applyNumberFormat="1" applyFont="1" applyBorder="1" applyAlignment="1">
      <alignment/>
    </xf>
    <xf numFmtId="3" fontId="4" fillId="0" borderId="0" xfId="15" applyNumberFormat="1" applyFont="1" applyBorder="1" applyAlignment="1">
      <alignment/>
    </xf>
    <xf numFmtId="3" fontId="4" fillId="3" borderId="2" xfId="15" applyNumberFormat="1" applyFont="1" applyFill="1" applyBorder="1" applyAlignment="1">
      <alignment/>
    </xf>
    <xf numFmtId="3" fontId="0" fillId="0" borderId="0" xfId="15" applyNumberFormat="1" applyFill="1" applyBorder="1" applyAlignment="1">
      <alignment/>
    </xf>
    <xf numFmtId="3" fontId="0" fillId="4" borderId="0" xfId="15" applyNumberFormat="1" applyFill="1" applyBorder="1" applyAlignment="1">
      <alignment/>
    </xf>
    <xf numFmtId="3" fontId="0" fillId="0" borderId="0" xfId="15" applyNumberFormat="1" applyFont="1" applyBorder="1" applyAlignment="1">
      <alignment/>
    </xf>
    <xf numFmtId="165" fontId="0" fillId="4" borderId="2" xfId="15" applyNumberFormat="1" applyFill="1" applyBorder="1" applyAlignment="1">
      <alignment/>
    </xf>
    <xf numFmtId="3" fontId="4" fillId="0" borderId="0" xfId="15" applyNumberFormat="1" applyFont="1" applyFill="1" applyBorder="1" applyAlignment="1">
      <alignment/>
    </xf>
    <xf numFmtId="49" fontId="11" fillId="0" borderId="0" xfId="0" applyNumberFormat="1" applyFont="1" applyFill="1" applyBorder="1" applyAlignment="1">
      <alignment horizontal="left" vertical="top"/>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4" fillId="0" borderId="0" xfId="0" applyFont="1" applyFill="1" applyBorder="1" applyAlignment="1">
      <alignment horizontal="right"/>
    </xf>
    <xf numFmtId="3" fontId="4" fillId="0" borderId="1" xfId="15" applyNumberFormat="1" applyFont="1" applyBorder="1" applyAlignment="1">
      <alignment/>
    </xf>
    <xf numFmtId="3" fontId="4" fillId="0" borderId="3" xfId="15" applyNumberFormat="1" applyFont="1" applyBorder="1" applyAlignment="1">
      <alignment/>
    </xf>
    <xf numFmtId="3" fontId="0" fillId="0" borderId="1" xfId="15" applyNumberFormat="1" applyFont="1" applyBorder="1" applyAlignment="1">
      <alignment/>
    </xf>
    <xf numFmtId="3" fontId="4" fillId="3" borderId="3" xfId="15" applyNumberFormat="1" applyFont="1" applyFill="1" applyBorder="1" applyAlignment="1">
      <alignment/>
    </xf>
    <xf numFmtId="3" fontId="0" fillId="0" borderId="1" xfId="15" applyNumberFormat="1" applyFill="1" applyBorder="1" applyAlignment="1">
      <alignment/>
    </xf>
    <xf numFmtId="3" fontId="0" fillId="4" borderId="1" xfId="15" applyNumberFormat="1" applyFill="1" applyBorder="1" applyAlignment="1">
      <alignment/>
    </xf>
    <xf numFmtId="3" fontId="4" fillId="0" borderId="1" xfId="15" applyNumberFormat="1" applyFont="1" applyFill="1" applyBorder="1" applyAlignment="1">
      <alignment/>
    </xf>
    <xf numFmtId="165" fontId="0" fillId="4" borderId="3" xfId="15" applyNumberFormat="1" applyFill="1" applyBorder="1" applyAlignment="1">
      <alignment/>
    </xf>
    <xf numFmtId="3" fontId="4" fillId="2" borderId="32" xfId="0" applyNumberFormat="1" applyFont="1" applyFill="1" applyBorder="1" applyAlignment="1">
      <alignment/>
    </xf>
    <xf numFmtId="3" fontId="4" fillId="2" borderId="35" xfId="15" applyNumberFormat="1" applyFont="1" applyFill="1" applyBorder="1" applyAlignment="1">
      <alignment/>
    </xf>
    <xf numFmtId="0" fontId="4" fillId="0" borderId="1" xfId="0" applyFont="1" applyBorder="1" applyAlignment="1">
      <alignment/>
    </xf>
    <xf numFmtId="0" fontId="0" fillId="0" borderId="1" xfId="0" applyFont="1" applyBorder="1" applyAlignment="1">
      <alignment/>
    </xf>
    <xf numFmtId="0" fontId="4" fillId="0" borderId="1" xfId="0" applyFont="1" applyFill="1" applyBorder="1" applyAlignment="1">
      <alignment/>
    </xf>
    <xf numFmtId="0" fontId="0" fillId="0" borderId="1" xfId="0" applyFill="1" applyBorder="1" applyAlignment="1">
      <alignment/>
    </xf>
    <xf numFmtId="4" fontId="4" fillId="3" borderId="3" xfId="15" applyNumberFormat="1" applyFont="1" applyFill="1" applyBorder="1" applyAlignment="1">
      <alignment/>
    </xf>
    <xf numFmtId="4" fontId="0" fillId="0" borderId="1" xfId="15" applyNumberFormat="1" applyFont="1" applyFill="1" applyBorder="1" applyAlignment="1">
      <alignment/>
    </xf>
    <xf numFmtId="0" fontId="4" fillId="4" borderId="1" xfId="0" applyFont="1" applyFill="1" applyBorder="1" applyAlignment="1">
      <alignment/>
    </xf>
    <xf numFmtId="0" fontId="0" fillId="4" borderId="1" xfId="0" applyFill="1" applyBorder="1" applyAlignment="1">
      <alignment/>
    </xf>
    <xf numFmtId="4" fontId="4" fillId="4" borderId="1" xfId="15" applyNumberFormat="1" applyFont="1" applyFill="1" applyBorder="1" applyAlignment="1">
      <alignment/>
    </xf>
    <xf numFmtId="4" fontId="4" fillId="0" borderId="1" xfId="15" applyNumberFormat="1" applyFont="1" applyFill="1" applyBorder="1" applyAlignment="1">
      <alignment/>
    </xf>
    <xf numFmtId="4" fontId="4" fillId="4" borderId="3" xfId="15" applyNumberFormat="1" applyFont="1" applyFill="1" applyBorder="1" applyAlignment="1">
      <alignment/>
    </xf>
    <xf numFmtId="0" fontId="4" fillId="0" borderId="32" xfId="0" applyFont="1" applyFill="1" applyBorder="1" applyAlignment="1">
      <alignment horizontal="center"/>
    </xf>
    <xf numFmtId="0" fontId="4" fillId="0" borderId="0" xfId="0" applyFont="1" applyFill="1" applyBorder="1" applyAlignment="1">
      <alignment horizontal="center"/>
    </xf>
    <xf numFmtId="3" fontId="0" fillId="0" borderId="14" xfId="15" applyNumberFormat="1" applyBorder="1" applyAlignment="1">
      <alignment/>
    </xf>
    <xf numFmtId="3" fontId="4" fillId="0" borderId="14" xfId="15" applyNumberFormat="1" applyFont="1" applyBorder="1" applyAlignment="1">
      <alignment/>
    </xf>
    <xf numFmtId="3" fontId="0" fillId="0" borderId="14" xfId="15" applyNumberFormat="1" applyFont="1" applyBorder="1" applyAlignment="1">
      <alignment/>
    </xf>
    <xf numFmtId="3" fontId="4" fillId="0" borderId="14" xfId="15" applyNumberFormat="1" applyFont="1" applyFill="1" applyBorder="1" applyAlignment="1">
      <alignment/>
    </xf>
    <xf numFmtId="3" fontId="0" fillId="0" borderId="14" xfId="15" applyNumberFormat="1" applyFill="1" applyBorder="1" applyAlignment="1">
      <alignment/>
    </xf>
    <xf numFmtId="3" fontId="0" fillId="4" borderId="14" xfId="15" applyNumberFormat="1" applyFill="1" applyBorder="1" applyAlignment="1">
      <alignment/>
    </xf>
    <xf numFmtId="165" fontId="0" fillId="0" borderId="14" xfId="15" applyNumberFormat="1" applyBorder="1" applyAlignment="1">
      <alignment/>
    </xf>
    <xf numFmtId="3" fontId="4" fillId="2" borderId="36" xfId="0" applyNumberFormat="1" applyFont="1" applyFill="1" applyBorder="1" applyAlignment="1">
      <alignment horizontal="right"/>
    </xf>
    <xf numFmtId="165" fontId="0" fillId="0" borderId="0" xfId="15" applyNumberFormat="1" applyAlignment="1">
      <alignment horizontal="right"/>
    </xf>
    <xf numFmtId="165" fontId="0" fillId="0" borderId="1" xfId="15" applyNumberFormat="1" applyBorder="1" applyAlignment="1">
      <alignment horizontal="right"/>
    </xf>
    <xf numFmtId="1" fontId="0" fillId="0" borderId="16" xfId="0" applyNumberFormat="1" applyBorder="1" applyAlignment="1">
      <alignment horizontal="right"/>
    </xf>
    <xf numFmtId="165" fontId="0" fillId="0" borderId="0" xfId="15" applyNumberFormat="1" applyBorder="1" applyAlignment="1">
      <alignment horizontal="right"/>
    </xf>
    <xf numFmtId="1" fontId="0" fillId="0" borderId="8" xfId="0" applyNumberFormat="1" applyBorder="1" applyAlignment="1">
      <alignment horizontal="right"/>
    </xf>
    <xf numFmtId="165" fontId="0" fillId="0" borderId="2" xfId="15" applyNumberFormat="1" applyBorder="1" applyAlignment="1">
      <alignment horizontal="right"/>
    </xf>
    <xf numFmtId="165" fontId="0" fillId="0" borderId="3" xfId="15" applyNumberFormat="1" applyBorder="1" applyAlignment="1">
      <alignment horizontal="righ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2" fontId="0" fillId="0" borderId="0" xfId="15" applyNumberFormat="1" applyBorder="1" applyAlignment="1">
      <alignment horizontal="right"/>
    </xf>
    <xf numFmtId="3" fontId="0" fillId="0" borderId="2" xfId="15" applyNumberFormat="1" applyBorder="1" applyAlignment="1">
      <alignment horizontal="right"/>
    </xf>
    <xf numFmtId="3" fontId="0" fillId="0" borderId="3" xfId="15" applyNumberFormat="1" applyBorder="1" applyAlignment="1">
      <alignment horizontal="right"/>
    </xf>
    <xf numFmtId="3" fontId="0" fillId="0" borderId="0" xfId="15" applyNumberFormat="1" applyBorder="1" applyAlignment="1">
      <alignment horizontal="right"/>
    </xf>
    <xf numFmtId="3" fontId="0" fillId="0" borderId="1" xfId="15" applyNumberFormat="1" applyBorder="1" applyAlignment="1">
      <alignment horizontal="right"/>
    </xf>
    <xf numFmtId="0" fontId="0" fillId="0" borderId="0" xfId="0" applyBorder="1" applyAlignment="1">
      <alignment horizontal="right"/>
    </xf>
    <xf numFmtId="0" fontId="0" fillId="0" borderId="1" xfId="0" applyBorder="1" applyAlignment="1">
      <alignment horizontal="right"/>
    </xf>
    <xf numFmtId="0" fontId="0" fillId="0" borderId="8" xfId="0" applyBorder="1" applyAlignment="1">
      <alignment horizontal="right"/>
    </xf>
    <xf numFmtId="4" fontId="0" fillId="0" borderId="0" xfId="15" applyNumberFormat="1" applyBorder="1" applyAlignment="1">
      <alignment horizontal="right"/>
    </xf>
    <xf numFmtId="4" fontId="0" fillId="0" borderId="1" xfId="15" applyNumberFormat="1" applyBorder="1" applyAlignment="1">
      <alignment horizontal="right"/>
    </xf>
    <xf numFmtId="4" fontId="0" fillId="0" borderId="8" xfId="0" applyNumberFormat="1" applyBorder="1" applyAlignment="1">
      <alignment horizontal="right"/>
    </xf>
    <xf numFmtId="4" fontId="0" fillId="0" borderId="12" xfId="15" applyNumberFormat="1" applyBorder="1" applyAlignment="1">
      <alignment horizontal="right"/>
    </xf>
    <xf numFmtId="4" fontId="0" fillId="0" borderId="10" xfId="15" applyNumberFormat="1" applyBorder="1" applyAlignment="1">
      <alignment horizontal="right"/>
    </xf>
    <xf numFmtId="4" fontId="0" fillId="0" borderId="13" xfId="0" applyNumberFormat="1" applyBorder="1" applyAlignment="1">
      <alignment horizontal="right"/>
    </xf>
    <xf numFmtId="0" fontId="4" fillId="0" borderId="4" xfId="0" applyFont="1" applyBorder="1" applyAlignment="1">
      <alignment horizontal="center"/>
    </xf>
    <xf numFmtId="0" fontId="4" fillId="0" borderId="11" xfId="0" applyFont="1" applyBorder="1" applyAlignment="1">
      <alignment horizontal="center"/>
    </xf>
    <xf numFmtId="0" fontId="4" fillId="0" borderId="5" xfId="0" applyFont="1" applyBorder="1" applyAlignment="1">
      <alignment horizontal="center"/>
    </xf>
    <xf numFmtId="2" fontId="0" fillId="0" borderId="37" xfId="0" applyNumberFormat="1" applyBorder="1" applyAlignment="1">
      <alignment horizontal="left" vertical="top" wrapText="1"/>
    </xf>
    <xf numFmtId="2" fontId="0" fillId="0" borderId="0" xfId="0" applyNumberFormat="1" applyBorder="1" applyAlignment="1">
      <alignment horizontal="left" vertical="top" wrapText="1"/>
    </xf>
    <xf numFmtId="0" fontId="4" fillId="0" borderId="0" xfId="0" applyFont="1" applyBorder="1" applyAlignment="1">
      <alignment horizontal="center"/>
    </xf>
    <xf numFmtId="0" fontId="4" fillId="0" borderId="38" xfId="0" applyFont="1" applyBorder="1" applyAlignment="1">
      <alignment horizontal="center"/>
    </xf>
    <xf numFmtId="0" fontId="4" fillId="0" borderId="17" xfId="0" applyFont="1" applyBorder="1" applyAlignment="1">
      <alignment horizontal="center"/>
    </xf>
    <xf numFmtId="2" fontId="0" fillId="0" borderId="2" xfId="0" applyNumberFormat="1" applyBorder="1" applyAlignment="1">
      <alignment horizontal="right"/>
    </xf>
    <xf numFmtId="2" fontId="0" fillId="0" borderId="16" xfId="0" applyNumberFormat="1" applyBorder="1" applyAlignment="1">
      <alignment horizontal="right"/>
    </xf>
    <xf numFmtId="2" fontId="0" fillId="0" borderId="0" xfId="0" applyNumberFormat="1" applyBorder="1" applyAlignment="1">
      <alignment horizontal="right"/>
    </xf>
    <xf numFmtId="2" fontId="0" fillId="0" borderId="8" xfId="0" applyNumberFormat="1" applyBorder="1" applyAlignment="1">
      <alignment horizontal="right"/>
    </xf>
    <xf numFmtId="0" fontId="4" fillId="0" borderId="19" xfId="0" applyFont="1" applyFill="1" applyBorder="1" applyAlignment="1">
      <alignment horizontal="left"/>
    </xf>
    <xf numFmtId="0" fontId="4" fillId="0" borderId="20" xfId="0" applyFont="1" applyFill="1" applyBorder="1" applyAlignment="1">
      <alignment horizontal="left"/>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7" xfId="0" applyFont="1" applyFill="1" applyBorder="1" applyAlignment="1">
      <alignment horizontal="left"/>
    </xf>
    <xf numFmtId="0" fontId="4" fillId="0" borderId="1" xfId="0" applyFont="1" applyFill="1" applyBorder="1" applyAlignment="1">
      <alignment horizontal="left"/>
    </xf>
    <xf numFmtId="0" fontId="4" fillId="0" borderId="18" xfId="0" applyFont="1" applyFill="1" applyBorder="1" applyAlignment="1">
      <alignment horizontal="left"/>
    </xf>
    <xf numFmtId="0" fontId="4" fillId="0" borderId="39" xfId="0" applyFont="1" applyFill="1" applyBorder="1" applyAlignment="1">
      <alignment horizontal="left"/>
    </xf>
    <xf numFmtId="2" fontId="0" fillId="0" borderId="12" xfId="0" applyNumberFormat="1" applyBorder="1" applyAlignment="1">
      <alignment horizontal="right"/>
    </xf>
    <xf numFmtId="2" fontId="0" fillId="0" borderId="13" xfId="0" applyNumberFormat="1" applyBorder="1" applyAlignment="1">
      <alignment horizontal="right"/>
    </xf>
    <xf numFmtId="0" fontId="4" fillId="0" borderId="9" xfId="0" applyFont="1" applyBorder="1" applyAlignment="1">
      <alignment horizontal="left"/>
    </xf>
    <xf numFmtId="0" fontId="4" fillId="0" borderId="10" xfId="0" applyFont="1" applyBorder="1" applyAlignment="1">
      <alignment horizontal="left"/>
    </xf>
    <xf numFmtId="0" fontId="4" fillId="0" borderId="9" xfId="0" applyFont="1" applyFill="1" applyBorder="1" applyAlignment="1">
      <alignment horizontal="left"/>
    </xf>
    <xf numFmtId="0" fontId="4" fillId="0" borderId="10" xfId="0" applyFont="1" applyFill="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4" fillId="0" borderId="35" xfId="0" applyFont="1" applyFill="1" applyBorder="1" applyAlignment="1">
      <alignment horizontal="center"/>
    </xf>
    <xf numFmtId="0" fontId="4" fillId="0" borderId="32" xfId="0" applyFont="1" applyFill="1" applyBorder="1" applyAlignment="1">
      <alignment horizontal="center"/>
    </xf>
    <xf numFmtId="0" fontId="4" fillId="0" borderId="0" xfId="0" applyFont="1" applyFill="1" applyBorder="1" applyAlignment="1">
      <alignment horizontal="center"/>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4"/>
  <sheetViews>
    <sheetView workbookViewId="0" topLeftCell="A1">
      <selection activeCell="I37" sqref="B3:I37"/>
    </sheetView>
  </sheetViews>
  <sheetFormatPr defaultColWidth="9.140625" defaultRowHeight="12.75"/>
  <cols>
    <col min="2" max="2" width="49.421875" style="0" customWidth="1"/>
    <col min="3" max="3" width="8.7109375" style="0" bestFit="1" customWidth="1"/>
    <col min="4" max="4" width="10.28125" style="0" customWidth="1"/>
    <col min="5" max="8" width="10.28125" style="0" bestFit="1" customWidth="1"/>
    <col min="9" max="9" width="6.140625" style="0" bestFit="1" customWidth="1"/>
    <col min="10" max="10" width="11.28125" style="0" customWidth="1"/>
    <col min="11" max="11" width="12.00390625" style="0" customWidth="1"/>
  </cols>
  <sheetData>
    <row r="1" spans="1:3" ht="15.75">
      <c r="A1" s="6" t="s">
        <v>0</v>
      </c>
      <c r="C1" s="5"/>
    </row>
    <row r="2" ht="13.5" thickBot="1"/>
    <row r="3" spans="2:19" ht="12.75">
      <c r="B3" s="49"/>
      <c r="C3" s="164" t="s">
        <v>1</v>
      </c>
      <c r="D3" s="165"/>
      <c r="E3" s="165"/>
      <c r="F3" s="165"/>
      <c r="G3" s="165"/>
      <c r="H3" s="166"/>
      <c r="I3" s="41"/>
      <c r="K3" s="46" t="s">
        <v>80</v>
      </c>
      <c r="L3" s="47"/>
      <c r="M3" s="47"/>
      <c r="N3" s="47"/>
      <c r="O3" s="47"/>
      <c r="P3" s="47"/>
      <c r="Q3" s="47"/>
      <c r="R3" s="47"/>
      <c r="S3" s="48"/>
    </row>
    <row r="4" spans="2:20" ht="13.5" customHeight="1" thickBot="1">
      <c r="B4" s="50"/>
      <c r="C4" s="52">
        <v>75</v>
      </c>
      <c r="D4" s="53">
        <v>150</v>
      </c>
      <c r="E4" s="53">
        <v>250</v>
      </c>
      <c r="F4" s="53">
        <v>500</v>
      </c>
      <c r="G4" s="53">
        <v>750</v>
      </c>
      <c r="H4" s="77">
        <v>950</v>
      </c>
      <c r="I4" s="54" t="s">
        <v>83</v>
      </c>
      <c r="K4" s="167" t="s">
        <v>82</v>
      </c>
      <c r="L4" s="167"/>
      <c r="M4" s="167"/>
      <c r="N4" s="167"/>
      <c r="O4" s="167"/>
      <c r="P4" s="167"/>
      <c r="Q4" s="167"/>
      <c r="R4" s="167"/>
      <c r="S4" s="167"/>
      <c r="T4" s="76"/>
    </row>
    <row r="5" spans="2:20" ht="12.75">
      <c r="B5" s="49" t="s">
        <v>114</v>
      </c>
      <c r="C5" s="18"/>
      <c r="D5" s="18"/>
      <c r="E5" s="18"/>
      <c r="F5" s="18"/>
      <c r="G5" s="18"/>
      <c r="H5" s="8"/>
      <c r="I5" s="41"/>
      <c r="K5" s="168"/>
      <c r="L5" s="168"/>
      <c r="M5" s="168"/>
      <c r="N5" s="168"/>
      <c r="O5" s="168"/>
      <c r="P5" s="168"/>
      <c r="Q5" s="168"/>
      <c r="R5" s="168"/>
      <c r="S5" s="168"/>
      <c r="T5" s="76"/>
    </row>
    <row r="6" spans="2:20" ht="12.75">
      <c r="B6" s="90" t="s">
        <v>113</v>
      </c>
      <c r="C6" s="141">
        <v>403040</v>
      </c>
      <c r="D6" s="141">
        <v>790260</v>
      </c>
      <c r="E6" s="141">
        <v>1056200</v>
      </c>
      <c r="F6" s="141">
        <v>1492400</v>
      </c>
      <c r="G6" s="141">
        <v>2626330</v>
      </c>
      <c r="H6" s="142">
        <v>3187570</v>
      </c>
      <c r="I6" s="143"/>
      <c r="J6" s="37"/>
      <c r="K6" s="168"/>
      <c r="L6" s="168"/>
      <c r="M6" s="168"/>
      <c r="N6" s="168"/>
      <c r="O6" s="168"/>
      <c r="P6" s="168"/>
      <c r="Q6" s="168"/>
      <c r="R6" s="168"/>
      <c r="S6" s="168"/>
      <c r="T6" s="76"/>
    </row>
    <row r="7" spans="2:20" ht="12.75">
      <c r="B7" s="91" t="s">
        <v>32</v>
      </c>
      <c r="C7" s="144">
        <v>108000</v>
      </c>
      <c r="D7" s="144">
        <v>234300</v>
      </c>
      <c r="E7" s="144">
        <v>314400</v>
      </c>
      <c r="F7" s="144">
        <v>469500</v>
      </c>
      <c r="G7" s="144">
        <v>927900</v>
      </c>
      <c r="H7" s="142">
        <v>1168500</v>
      </c>
      <c r="I7" s="145"/>
      <c r="J7" s="37"/>
      <c r="K7" s="168"/>
      <c r="L7" s="168"/>
      <c r="M7" s="168"/>
      <c r="N7" s="168"/>
      <c r="O7" s="168"/>
      <c r="P7" s="168"/>
      <c r="Q7" s="168"/>
      <c r="R7" s="168"/>
      <c r="S7" s="168"/>
      <c r="T7" s="76"/>
    </row>
    <row r="8" spans="2:20" ht="12.75">
      <c r="B8" s="91" t="s">
        <v>19</v>
      </c>
      <c r="C8" s="144">
        <v>92000</v>
      </c>
      <c r="D8" s="144">
        <v>92000</v>
      </c>
      <c r="E8" s="144">
        <v>92000</v>
      </c>
      <c r="F8" s="144">
        <v>144000</v>
      </c>
      <c r="G8" s="144">
        <v>196000</v>
      </c>
      <c r="H8" s="142">
        <v>196000</v>
      </c>
      <c r="I8" s="145"/>
      <c r="J8" s="37"/>
      <c r="K8" s="168"/>
      <c r="L8" s="168"/>
      <c r="M8" s="168"/>
      <c r="N8" s="168"/>
      <c r="O8" s="168"/>
      <c r="P8" s="168"/>
      <c r="Q8" s="168"/>
      <c r="R8" s="168"/>
      <c r="S8" s="168"/>
      <c r="T8" s="76"/>
    </row>
    <row r="9" spans="2:20" ht="12.75" hidden="1">
      <c r="B9" s="91"/>
      <c r="C9" s="144"/>
      <c r="D9" s="144"/>
      <c r="E9" s="144"/>
      <c r="F9" s="144"/>
      <c r="G9" s="144"/>
      <c r="H9" s="142"/>
      <c r="I9" s="145"/>
      <c r="J9" s="37"/>
      <c r="K9" s="168"/>
      <c r="L9" s="168"/>
      <c r="M9" s="168"/>
      <c r="N9" s="168"/>
      <c r="O9" s="168"/>
      <c r="P9" s="168"/>
      <c r="Q9" s="168"/>
      <c r="R9" s="168"/>
      <c r="S9" s="168"/>
      <c r="T9" s="76"/>
    </row>
    <row r="10" spans="2:20" ht="12.75">
      <c r="B10" s="90" t="s">
        <v>95</v>
      </c>
      <c r="C10" s="146">
        <f aca="true" t="shared" si="0" ref="C10:H10">SUM(C6:C8)</f>
        <v>603040</v>
      </c>
      <c r="D10" s="146">
        <f t="shared" si="0"/>
        <v>1116560</v>
      </c>
      <c r="E10" s="146">
        <f t="shared" si="0"/>
        <v>1462600</v>
      </c>
      <c r="F10" s="146">
        <f t="shared" si="0"/>
        <v>2105900</v>
      </c>
      <c r="G10" s="146">
        <f t="shared" si="0"/>
        <v>3750230</v>
      </c>
      <c r="H10" s="147">
        <f t="shared" si="0"/>
        <v>4552070</v>
      </c>
      <c r="I10" s="145"/>
      <c r="J10" s="37"/>
      <c r="K10" s="168"/>
      <c r="L10" s="168"/>
      <c r="M10" s="168"/>
      <c r="N10" s="168"/>
      <c r="O10" s="168"/>
      <c r="P10" s="168"/>
      <c r="Q10" s="168"/>
      <c r="R10" s="168"/>
      <c r="S10" s="168"/>
      <c r="T10" s="76"/>
    </row>
    <row r="11" spans="2:20" ht="12.75" hidden="1">
      <c r="B11" s="91"/>
      <c r="C11" s="144"/>
      <c r="D11" s="144"/>
      <c r="E11" s="144"/>
      <c r="F11" s="144"/>
      <c r="G11" s="144"/>
      <c r="H11" s="142"/>
      <c r="I11" s="145"/>
      <c r="J11" s="37"/>
      <c r="K11" s="168"/>
      <c r="L11" s="168"/>
      <c r="M11" s="168"/>
      <c r="N11" s="168"/>
      <c r="O11" s="168"/>
      <c r="P11" s="168"/>
      <c r="Q11" s="168"/>
      <c r="R11" s="168"/>
      <c r="S11" s="168"/>
      <c r="T11" s="76"/>
    </row>
    <row r="12" spans="2:20" ht="12.75" hidden="1">
      <c r="B12" s="91"/>
      <c r="C12" s="144"/>
      <c r="D12" s="144"/>
      <c r="E12" s="144"/>
      <c r="F12" s="144"/>
      <c r="G12" s="144"/>
      <c r="H12" s="142"/>
      <c r="I12" s="145"/>
      <c r="J12" s="37"/>
      <c r="K12" s="168"/>
      <c r="L12" s="168"/>
      <c r="M12" s="168"/>
      <c r="N12" s="168"/>
      <c r="O12" s="168"/>
      <c r="P12" s="168"/>
      <c r="Q12" s="168"/>
      <c r="R12" s="168"/>
      <c r="S12" s="168"/>
      <c r="T12" s="76"/>
    </row>
    <row r="13" spans="2:20" ht="12.75">
      <c r="B13" s="92" t="s">
        <v>0</v>
      </c>
      <c r="C13" s="144"/>
      <c r="D13" s="144"/>
      <c r="E13" s="144"/>
      <c r="F13" s="144"/>
      <c r="G13" s="144"/>
      <c r="H13" s="142"/>
      <c r="I13" s="145"/>
      <c r="J13" s="37"/>
      <c r="K13" s="168"/>
      <c r="L13" s="168"/>
      <c r="M13" s="168"/>
      <c r="N13" s="168"/>
      <c r="O13" s="168"/>
      <c r="P13" s="168"/>
      <c r="Q13" s="168"/>
      <c r="R13" s="168"/>
      <c r="S13" s="168"/>
      <c r="T13" s="76"/>
    </row>
    <row r="14" spans="2:20" ht="12.75">
      <c r="B14" s="91" t="s">
        <v>37</v>
      </c>
      <c r="C14" s="144">
        <v>377000</v>
      </c>
      <c r="D14" s="144">
        <v>734000</v>
      </c>
      <c r="E14" s="144">
        <v>1161000</v>
      </c>
      <c r="F14" s="144">
        <v>1897000</v>
      </c>
      <c r="G14" s="144">
        <v>2592000</v>
      </c>
      <c r="H14" s="142">
        <v>3563000</v>
      </c>
      <c r="I14" s="145"/>
      <c r="J14" s="37"/>
      <c r="K14" s="168"/>
      <c r="L14" s="168"/>
      <c r="M14" s="168"/>
      <c r="N14" s="168"/>
      <c r="O14" s="168"/>
      <c r="P14" s="168"/>
      <c r="Q14" s="168"/>
      <c r="R14" s="168"/>
      <c r="S14" s="168"/>
      <c r="T14" s="76"/>
    </row>
    <row r="15" spans="2:20" ht="12.75">
      <c r="B15" s="91" t="s">
        <v>0</v>
      </c>
      <c r="C15" s="144">
        <v>341000</v>
      </c>
      <c r="D15" s="144">
        <v>693000</v>
      </c>
      <c r="E15" s="144">
        <v>1107000</v>
      </c>
      <c r="F15" s="144">
        <v>1813000</v>
      </c>
      <c r="G15" s="144">
        <v>2407000</v>
      </c>
      <c r="H15" s="142">
        <v>3320000</v>
      </c>
      <c r="I15" s="145"/>
      <c r="J15" s="37"/>
      <c r="K15" s="168"/>
      <c r="L15" s="168"/>
      <c r="M15" s="168"/>
      <c r="N15" s="168"/>
      <c r="O15" s="168"/>
      <c r="P15" s="168"/>
      <c r="Q15" s="168"/>
      <c r="R15" s="168"/>
      <c r="S15" s="168"/>
      <c r="T15" s="76"/>
    </row>
    <row r="16" spans="2:20" ht="12.75" hidden="1">
      <c r="B16" s="91"/>
      <c r="C16" s="144"/>
      <c r="D16" s="144"/>
      <c r="E16" s="144"/>
      <c r="F16" s="144"/>
      <c r="G16" s="144"/>
      <c r="H16" s="142"/>
      <c r="I16" s="145"/>
      <c r="J16" s="37"/>
      <c r="K16" s="168"/>
      <c r="L16" s="168"/>
      <c r="M16" s="168"/>
      <c r="N16" s="168"/>
      <c r="O16" s="168"/>
      <c r="P16" s="168"/>
      <c r="Q16" s="168"/>
      <c r="R16" s="168"/>
      <c r="S16" s="168"/>
      <c r="T16" s="76"/>
    </row>
    <row r="17" spans="2:20" ht="12.75">
      <c r="B17" s="93" t="s">
        <v>38</v>
      </c>
      <c r="C17" s="148">
        <f aca="true" t="shared" si="1" ref="C17:H17">AVERAGE(C14,C15)</f>
        <v>359000</v>
      </c>
      <c r="D17" s="148">
        <f t="shared" si="1"/>
        <v>713500</v>
      </c>
      <c r="E17" s="148">
        <f t="shared" si="1"/>
        <v>1134000</v>
      </c>
      <c r="F17" s="148">
        <f t="shared" si="1"/>
        <v>1855000</v>
      </c>
      <c r="G17" s="148">
        <f t="shared" si="1"/>
        <v>2499500</v>
      </c>
      <c r="H17" s="149">
        <f t="shared" si="1"/>
        <v>3441500</v>
      </c>
      <c r="I17" s="143"/>
      <c r="J17" s="37"/>
      <c r="K17" s="168"/>
      <c r="L17" s="168"/>
      <c r="M17" s="168"/>
      <c r="N17" s="168"/>
      <c r="O17" s="168"/>
      <c r="P17" s="168"/>
      <c r="Q17" s="168"/>
      <c r="R17" s="168"/>
      <c r="S17" s="168"/>
      <c r="T17" s="76"/>
    </row>
    <row r="18" spans="2:20" ht="12.75" hidden="1">
      <c r="B18" s="91"/>
      <c r="C18" s="144"/>
      <c r="D18" s="144"/>
      <c r="E18" s="144"/>
      <c r="F18" s="144"/>
      <c r="G18" s="144"/>
      <c r="H18" s="142"/>
      <c r="I18" s="145"/>
      <c r="J18" s="37"/>
      <c r="K18" s="168"/>
      <c r="L18" s="168"/>
      <c r="M18" s="168"/>
      <c r="N18" s="168"/>
      <c r="O18" s="168"/>
      <c r="P18" s="168"/>
      <c r="Q18" s="168"/>
      <c r="R18" s="168"/>
      <c r="S18" s="168"/>
      <c r="T18" s="76"/>
    </row>
    <row r="19" spans="2:19" ht="12.75">
      <c r="B19" s="92" t="s">
        <v>19</v>
      </c>
      <c r="C19" s="144"/>
      <c r="D19" s="144"/>
      <c r="E19" s="144"/>
      <c r="F19" s="144"/>
      <c r="G19" s="144"/>
      <c r="H19" s="142"/>
      <c r="I19" s="145"/>
      <c r="J19" s="37"/>
      <c r="K19" s="168"/>
      <c r="L19" s="168"/>
      <c r="M19" s="168"/>
      <c r="N19" s="168"/>
      <c r="O19" s="168"/>
      <c r="P19" s="168"/>
      <c r="Q19" s="168"/>
      <c r="R19" s="168"/>
      <c r="S19" s="168"/>
    </row>
    <row r="20" spans="2:19" ht="12.75">
      <c r="B20" s="91" t="s">
        <v>19</v>
      </c>
      <c r="C20" s="144">
        <v>164000</v>
      </c>
      <c r="D20" s="144">
        <v>284800</v>
      </c>
      <c r="E20" s="144">
        <v>297500</v>
      </c>
      <c r="F20" s="144">
        <v>425000</v>
      </c>
      <c r="G20" s="144">
        <v>777000</v>
      </c>
      <c r="H20" s="142">
        <v>811000</v>
      </c>
      <c r="I20" s="145"/>
      <c r="J20" s="37"/>
      <c r="K20" s="168"/>
      <c r="L20" s="168"/>
      <c r="M20" s="168"/>
      <c r="N20" s="168"/>
      <c r="O20" s="168"/>
      <c r="P20" s="168"/>
      <c r="Q20" s="168"/>
      <c r="R20" s="168"/>
      <c r="S20" s="168"/>
    </row>
    <row r="21" spans="2:19" ht="12.75">
      <c r="B21" s="90" t="s">
        <v>20</v>
      </c>
      <c r="C21" s="146">
        <v>20000</v>
      </c>
      <c r="D21" s="146">
        <v>39500</v>
      </c>
      <c r="E21" s="146">
        <v>63000</v>
      </c>
      <c r="F21" s="146">
        <v>105000</v>
      </c>
      <c r="G21" s="146">
        <v>143000</v>
      </c>
      <c r="H21" s="147">
        <v>151000</v>
      </c>
      <c r="I21" s="143"/>
      <c r="J21" s="37"/>
      <c r="K21" s="168"/>
      <c r="L21" s="168"/>
      <c r="M21" s="168"/>
      <c r="N21" s="168"/>
      <c r="O21" s="168"/>
      <c r="P21" s="168"/>
      <c r="Q21" s="168"/>
      <c r="R21" s="168"/>
      <c r="S21" s="168"/>
    </row>
    <row r="22" spans="2:19" ht="12.75" hidden="1">
      <c r="B22" s="91"/>
      <c r="C22" s="144"/>
      <c r="D22" s="144"/>
      <c r="E22" s="144"/>
      <c r="F22" s="144"/>
      <c r="G22" s="144"/>
      <c r="H22" s="142"/>
      <c r="I22" s="145"/>
      <c r="J22" s="37"/>
      <c r="K22" s="168"/>
      <c r="L22" s="168"/>
      <c r="M22" s="168"/>
      <c r="N22" s="168"/>
      <c r="O22" s="168"/>
      <c r="P22" s="168"/>
      <c r="Q22" s="168"/>
      <c r="R22" s="168"/>
      <c r="S22" s="168"/>
    </row>
    <row r="23" spans="2:19" ht="12.75">
      <c r="B23" s="92" t="s">
        <v>39</v>
      </c>
      <c r="C23" s="144"/>
      <c r="D23" s="144"/>
      <c r="E23" s="144"/>
      <c r="F23" s="144"/>
      <c r="G23" s="144"/>
      <c r="H23" s="142"/>
      <c r="I23" s="145"/>
      <c r="J23" s="37"/>
      <c r="K23" s="168"/>
      <c r="L23" s="168"/>
      <c r="M23" s="168"/>
      <c r="N23" s="168"/>
      <c r="O23" s="168"/>
      <c r="P23" s="168"/>
      <c r="Q23" s="168"/>
      <c r="R23" s="168"/>
      <c r="S23" s="168"/>
    </row>
    <row r="24" spans="2:19" ht="12.75">
      <c r="B24" s="91" t="s">
        <v>4</v>
      </c>
      <c r="C24" s="144">
        <f>Rilleskæring!D8</f>
        <v>9855.5</v>
      </c>
      <c r="D24" s="144">
        <f>Rilleskæring!E8</f>
        <v>19841</v>
      </c>
      <c r="E24" s="144">
        <f>Rilleskæring!F8</f>
        <v>29228</v>
      </c>
      <c r="F24" s="144">
        <f>Rilleskæring!G8</f>
        <v>51530</v>
      </c>
      <c r="G24" s="144">
        <f>Rilleskæring!H8</f>
        <v>86117</v>
      </c>
      <c r="H24" s="142">
        <f>Rilleskæring!I8</f>
        <v>105300.5</v>
      </c>
      <c r="I24" s="145"/>
      <c r="J24" s="37"/>
      <c r="K24" s="168"/>
      <c r="L24" s="168"/>
      <c r="M24" s="168"/>
      <c r="N24" s="168"/>
      <c r="O24" s="168"/>
      <c r="P24" s="168"/>
      <c r="Q24" s="168"/>
      <c r="R24" s="168"/>
      <c r="S24" s="168"/>
    </row>
    <row r="25" spans="2:19" ht="12.75">
      <c r="B25" s="90" t="s">
        <v>34</v>
      </c>
      <c r="C25" s="146">
        <f>Gummigulv!D9</f>
        <v>107676</v>
      </c>
      <c r="D25" s="146">
        <f>Gummigulv!E9</f>
        <v>209201.84</v>
      </c>
      <c r="E25" s="146">
        <f>Gummigulv!F9</f>
        <v>305383.44</v>
      </c>
      <c r="F25" s="146">
        <f>Gummigulv!G9</f>
        <v>530097.75</v>
      </c>
      <c r="G25" s="146">
        <f>Gummigulv!H9</f>
        <v>810184.3200000001</v>
      </c>
      <c r="H25" s="147">
        <f>Gummigulv!I9</f>
        <v>973276.3500000001</v>
      </c>
      <c r="I25" s="143"/>
      <c r="J25" s="37"/>
      <c r="K25" s="168"/>
      <c r="L25" s="168"/>
      <c r="M25" s="168"/>
      <c r="N25" s="168"/>
      <c r="O25" s="168"/>
      <c r="P25" s="168"/>
      <c r="Q25" s="168"/>
      <c r="R25" s="168"/>
      <c r="S25" s="168"/>
    </row>
    <row r="26" spans="2:19" ht="12.75" hidden="1">
      <c r="B26" s="91"/>
      <c r="C26" s="144"/>
      <c r="D26" s="144"/>
      <c r="E26" s="144"/>
      <c r="F26" s="144"/>
      <c r="G26" s="144"/>
      <c r="H26" s="142"/>
      <c r="I26" s="145"/>
      <c r="J26" s="37"/>
      <c r="K26" s="168"/>
      <c r="L26" s="168"/>
      <c r="M26" s="168"/>
      <c r="N26" s="168"/>
      <c r="O26" s="168"/>
      <c r="P26" s="168"/>
      <c r="Q26" s="168"/>
      <c r="R26" s="168"/>
      <c r="S26" s="168"/>
    </row>
    <row r="27" spans="2:19" ht="12.75" hidden="1">
      <c r="B27" s="91"/>
      <c r="C27" s="144"/>
      <c r="D27" s="144"/>
      <c r="E27" s="144"/>
      <c r="F27" s="144"/>
      <c r="G27" s="144"/>
      <c r="H27" s="142"/>
      <c r="I27" s="145"/>
      <c r="J27" s="37"/>
      <c r="K27" s="168"/>
      <c r="L27" s="168"/>
      <c r="M27" s="168"/>
      <c r="N27" s="168"/>
      <c r="O27" s="168"/>
      <c r="P27" s="168"/>
      <c r="Q27" s="168"/>
      <c r="R27" s="168"/>
      <c r="S27" s="168"/>
    </row>
    <row r="28" spans="2:19" ht="12.75">
      <c r="B28" s="92" t="s">
        <v>40</v>
      </c>
      <c r="C28" s="144"/>
      <c r="D28" s="144"/>
      <c r="E28" s="144"/>
      <c r="F28" s="144"/>
      <c r="G28" s="144"/>
      <c r="H28" s="142"/>
      <c r="I28" s="145"/>
      <c r="J28" s="37"/>
      <c r="K28" s="168"/>
      <c r="L28" s="168"/>
      <c r="M28" s="168"/>
      <c r="N28" s="168"/>
      <c r="O28" s="168"/>
      <c r="P28" s="168"/>
      <c r="Q28" s="168"/>
      <c r="R28" s="168"/>
      <c r="S28" s="168"/>
    </row>
    <row r="29" spans="2:19" ht="12.75">
      <c r="B29" s="90" t="s">
        <v>36</v>
      </c>
      <c r="C29" s="146">
        <f aca="true" t="shared" si="2" ref="C29:H29">C17+C20+C21+C24</f>
        <v>552855.5</v>
      </c>
      <c r="D29" s="146">
        <f t="shared" si="2"/>
        <v>1057641</v>
      </c>
      <c r="E29" s="146">
        <f t="shared" si="2"/>
        <v>1523728</v>
      </c>
      <c r="F29" s="146">
        <f t="shared" si="2"/>
        <v>2436530</v>
      </c>
      <c r="G29" s="146">
        <f t="shared" si="2"/>
        <v>3505617</v>
      </c>
      <c r="H29" s="147">
        <f t="shared" si="2"/>
        <v>4508800.5</v>
      </c>
      <c r="I29" s="145"/>
      <c r="J29" s="37"/>
      <c r="K29" s="168"/>
      <c r="L29" s="168"/>
      <c r="M29" s="168"/>
      <c r="N29" s="168"/>
      <c r="O29" s="168"/>
      <c r="P29" s="168"/>
      <c r="Q29" s="168"/>
      <c r="R29" s="168"/>
      <c r="S29" s="168"/>
    </row>
    <row r="30" spans="2:19" ht="12.75" hidden="1">
      <c r="B30" s="94"/>
      <c r="C30" s="144"/>
      <c r="D30" s="144"/>
      <c r="E30" s="144"/>
      <c r="F30" s="144"/>
      <c r="G30" s="144"/>
      <c r="H30" s="142"/>
      <c r="I30" s="145"/>
      <c r="J30" s="37"/>
      <c r="K30" s="168"/>
      <c r="L30" s="168"/>
      <c r="M30" s="168"/>
      <c r="N30" s="168"/>
      <c r="O30" s="168"/>
      <c r="P30" s="168"/>
      <c r="Q30" s="168"/>
      <c r="R30" s="168"/>
      <c r="S30" s="168"/>
    </row>
    <row r="31" spans="2:19" ht="12.75" hidden="1">
      <c r="B31" s="91"/>
      <c r="C31" s="144"/>
      <c r="D31" s="144"/>
      <c r="E31" s="144"/>
      <c r="F31" s="144"/>
      <c r="G31" s="144"/>
      <c r="H31" s="142"/>
      <c r="I31" s="145"/>
      <c r="J31" s="37"/>
      <c r="K31" s="168"/>
      <c r="L31" s="168"/>
      <c r="M31" s="168"/>
      <c r="N31" s="168"/>
      <c r="O31" s="168"/>
      <c r="P31" s="168"/>
      <c r="Q31" s="168"/>
      <c r="R31" s="168"/>
      <c r="S31" s="168"/>
    </row>
    <row r="32" spans="2:19" ht="12.75">
      <c r="B32" s="92" t="s">
        <v>41</v>
      </c>
      <c r="C32" s="144"/>
      <c r="D32" s="144"/>
      <c r="E32" s="150"/>
      <c r="F32" s="144"/>
      <c r="G32" s="144"/>
      <c r="H32" s="142"/>
      <c r="I32" s="145"/>
      <c r="J32" s="37"/>
      <c r="K32" s="168"/>
      <c r="L32" s="168"/>
      <c r="M32" s="168"/>
      <c r="N32" s="168"/>
      <c r="O32" s="168"/>
      <c r="P32" s="168"/>
      <c r="Q32" s="168"/>
      <c r="R32" s="168"/>
      <c r="S32" s="168"/>
    </row>
    <row r="33" spans="2:19" ht="12.75">
      <c r="B33" s="90" t="s">
        <v>81</v>
      </c>
      <c r="C33" s="151">
        <f aca="true" t="shared" si="3" ref="C33:H33">C29-C10</f>
        <v>-50184.5</v>
      </c>
      <c r="D33" s="151">
        <f t="shared" si="3"/>
        <v>-58919</v>
      </c>
      <c r="E33" s="151">
        <f t="shared" si="3"/>
        <v>61128</v>
      </c>
      <c r="F33" s="151">
        <f t="shared" si="3"/>
        <v>330630</v>
      </c>
      <c r="G33" s="151">
        <f t="shared" si="3"/>
        <v>-244613</v>
      </c>
      <c r="H33" s="152">
        <f t="shared" si="3"/>
        <v>-43269.5</v>
      </c>
      <c r="I33" s="143"/>
      <c r="J33" s="37"/>
      <c r="K33" s="168"/>
      <c r="L33" s="168"/>
      <c r="M33" s="168"/>
      <c r="N33" s="168"/>
      <c r="O33" s="168"/>
      <c r="P33" s="168"/>
      <c r="Q33" s="168"/>
      <c r="R33" s="168"/>
      <c r="S33" s="168"/>
    </row>
    <row r="34" spans="2:19" ht="12.75" hidden="1">
      <c r="B34" s="91"/>
      <c r="C34" s="153"/>
      <c r="D34" s="153"/>
      <c r="E34" s="153"/>
      <c r="F34" s="153"/>
      <c r="G34" s="153"/>
      <c r="H34" s="154"/>
      <c r="I34" s="145"/>
      <c r="J34" s="37"/>
      <c r="K34" s="168"/>
      <c r="L34" s="168"/>
      <c r="M34" s="168"/>
      <c r="N34" s="168"/>
      <c r="O34" s="168"/>
      <c r="P34" s="168"/>
      <c r="Q34" s="168"/>
      <c r="R34" s="168"/>
      <c r="S34" s="168"/>
    </row>
    <row r="35" spans="2:19" ht="12.75">
      <c r="B35" s="92" t="s">
        <v>42</v>
      </c>
      <c r="C35" s="155"/>
      <c r="D35" s="155"/>
      <c r="E35" s="155"/>
      <c r="F35" s="155"/>
      <c r="G35" s="155"/>
      <c r="H35" s="156"/>
      <c r="I35" s="157"/>
      <c r="K35" s="168"/>
      <c r="L35" s="168"/>
      <c r="M35" s="168"/>
      <c r="N35" s="168"/>
      <c r="O35" s="168"/>
      <c r="P35" s="168"/>
      <c r="Q35" s="168"/>
      <c r="R35" s="168"/>
      <c r="S35" s="168"/>
    </row>
    <row r="36" spans="2:19" ht="12.75">
      <c r="B36" s="91" t="s">
        <v>25</v>
      </c>
      <c r="C36" s="158">
        <f aca="true" t="shared" si="4" ref="C36:H36">C33/($C$44*C4)</f>
        <v>-165.62541254125412</v>
      </c>
      <c r="D36" s="158">
        <f t="shared" si="4"/>
        <v>-97.22607260726073</v>
      </c>
      <c r="E36" s="158">
        <f t="shared" si="4"/>
        <v>60.52277227722772</v>
      </c>
      <c r="F36" s="158">
        <f t="shared" si="4"/>
        <v>163.67821782178217</v>
      </c>
      <c r="G36" s="158">
        <f t="shared" si="4"/>
        <v>-80.73036303630363</v>
      </c>
      <c r="H36" s="159">
        <f t="shared" si="4"/>
        <v>-11.273970818134446</v>
      </c>
      <c r="I36" s="160">
        <f>AVERAGE(C36:H36)</f>
        <v>-21.775804817323834</v>
      </c>
      <c r="J36" s="63"/>
      <c r="K36" s="168"/>
      <c r="L36" s="168"/>
      <c r="M36" s="168"/>
      <c r="N36" s="168"/>
      <c r="O36" s="168"/>
      <c r="P36" s="168"/>
      <c r="Q36" s="168"/>
      <c r="R36" s="168"/>
      <c r="S36" s="168"/>
    </row>
    <row r="37" spans="2:19" ht="13.5" thickBot="1">
      <c r="B37" s="50" t="s">
        <v>26</v>
      </c>
      <c r="C37" s="161">
        <f aca="true" t="shared" si="5" ref="C37:H37">C33/C4</f>
        <v>-669.1266666666667</v>
      </c>
      <c r="D37" s="161">
        <f t="shared" si="5"/>
        <v>-392.79333333333335</v>
      </c>
      <c r="E37" s="161">
        <f t="shared" si="5"/>
        <v>244.512</v>
      </c>
      <c r="F37" s="161">
        <f t="shared" si="5"/>
        <v>661.26</v>
      </c>
      <c r="G37" s="161">
        <f t="shared" si="5"/>
        <v>-326.15066666666667</v>
      </c>
      <c r="H37" s="162">
        <f t="shared" si="5"/>
        <v>-45.54684210526316</v>
      </c>
      <c r="I37" s="163">
        <f>AVERAGE(C37:H37)</f>
        <v>-87.97425146198833</v>
      </c>
      <c r="J37" s="63"/>
      <c r="K37" s="168"/>
      <c r="L37" s="168"/>
      <c r="M37" s="168"/>
      <c r="N37" s="168"/>
      <c r="O37" s="168"/>
      <c r="P37" s="168"/>
      <c r="Q37" s="168"/>
      <c r="R37" s="168"/>
      <c r="S37" s="168"/>
    </row>
    <row r="38" spans="11:19" ht="12.75">
      <c r="K38" s="168"/>
      <c r="L38" s="168"/>
      <c r="M38" s="168"/>
      <c r="N38" s="168"/>
      <c r="O38" s="168"/>
      <c r="P38" s="168"/>
      <c r="Q38" s="168"/>
      <c r="R38" s="168"/>
      <c r="S38" s="168"/>
    </row>
    <row r="39" spans="11:19" ht="12.75">
      <c r="K39" s="168"/>
      <c r="L39" s="168"/>
      <c r="M39" s="168"/>
      <c r="N39" s="168"/>
      <c r="O39" s="168"/>
      <c r="P39" s="168"/>
      <c r="Q39" s="168"/>
      <c r="R39" s="168"/>
      <c r="S39" s="168"/>
    </row>
    <row r="40" spans="11:19" ht="13.5" thickBot="1">
      <c r="K40" s="168"/>
      <c r="L40" s="168"/>
      <c r="M40" s="168"/>
      <c r="N40" s="168"/>
      <c r="O40" s="168"/>
      <c r="P40" s="168"/>
      <c r="Q40" s="168"/>
      <c r="R40" s="168"/>
      <c r="S40" s="168"/>
    </row>
    <row r="41" spans="2:19" ht="12.75">
      <c r="B41" s="46" t="s">
        <v>21</v>
      </c>
      <c r="C41" s="47"/>
      <c r="D41" s="47"/>
      <c r="E41" s="47"/>
      <c r="F41" s="48"/>
      <c r="K41" s="168"/>
      <c r="L41" s="168"/>
      <c r="M41" s="168"/>
      <c r="N41" s="168"/>
      <c r="O41" s="168"/>
      <c r="P41" s="168"/>
      <c r="Q41" s="168"/>
      <c r="R41" s="168"/>
      <c r="S41" s="168"/>
    </row>
    <row r="42" spans="2:6" ht="12.75">
      <c r="B42" s="70" t="s">
        <v>22</v>
      </c>
      <c r="C42" s="3">
        <v>8.09</v>
      </c>
      <c r="D42" s="3" t="s">
        <v>78</v>
      </c>
      <c r="E42" s="3">
        <v>10.76</v>
      </c>
      <c r="F42" s="11" t="s">
        <v>77</v>
      </c>
    </row>
    <row r="43" spans="2:6" ht="12.75">
      <c r="B43" s="71" t="s">
        <v>24</v>
      </c>
      <c r="C43" s="3">
        <v>4.05</v>
      </c>
      <c r="D43" s="3" t="s">
        <v>78</v>
      </c>
      <c r="E43" s="3">
        <v>5.38</v>
      </c>
      <c r="F43" s="11" t="s">
        <v>77</v>
      </c>
    </row>
    <row r="44" spans="2:6" ht="13.5" thickBot="1">
      <c r="B44" s="72" t="s">
        <v>27</v>
      </c>
      <c r="C44" s="95">
        <f>C42-C43</f>
        <v>4.04</v>
      </c>
      <c r="D44" s="21" t="s">
        <v>78</v>
      </c>
      <c r="E44" s="21">
        <f>E42-E43</f>
        <v>5.38</v>
      </c>
      <c r="F44" s="40" t="s">
        <v>77</v>
      </c>
    </row>
  </sheetData>
  <mergeCells count="2">
    <mergeCell ref="C3:H3"/>
    <mergeCell ref="K4:S41"/>
  </mergeCells>
  <printOptions/>
  <pageMargins left="0.75" right="0.75" top="1" bottom="1"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47"/>
  <sheetViews>
    <sheetView workbookViewId="0" topLeftCell="A1">
      <selection activeCell="F15" sqref="F15"/>
    </sheetView>
  </sheetViews>
  <sheetFormatPr defaultColWidth="9.140625" defaultRowHeight="12.75"/>
  <cols>
    <col min="4" max="8" width="9.28125" style="0" bestFit="1" customWidth="1"/>
    <col min="9" max="9" width="10.28125" style="0" bestFit="1" customWidth="1"/>
    <col min="11" max="11" width="9.140625" style="1" customWidth="1"/>
  </cols>
  <sheetData>
    <row r="1" spans="1:13" s="58" customFormat="1" ht="15.75">
      <c r="A1" s="6" t="s">
        <v>123</v>
      </c>
      <c r="K1" s="59"/>
      <c r="M1" s="6" t="s">
        <v>53</v>
      </c>
    </row>
    <row r="2" ht="13.5" thickBot="1"/>
    <row r="3" spans="2:13" ht="12.75">
      <c r="B3" s="56"/>
      <c r="C3" s="170" t="s">
        <v>1</v>
      </c>
      <c r="D3" s="165"/>
      <c r="E3" s="165"/>
      <c r="F3" s="165"/>
      <c r="G3" s="165"/>
      <c r="H3" s="171"/>
      <c r="M3" t="s">
        <v>54</v>
      </c>
    </row>
    <row r="4" spans="2:8" ht="12.75">
      <c r="B4" s="60" t="s">
        <v>52</v>
      </c>
      <c r="C4" s="57">
        <v>75</v>
      </c>
      <c r="D4" s="57">
        <v>150</v>
      </c>
      <c r="E4" s="57">
        <v>250</v>
      </c>
      <c r="F4" s="57">
        <v>500</v>
      </c>
      <c r="G4" s="57">
        <v>750</v>
      </c>
      <c r="H4" s="36">
        <v>950</v>
      </c>
    </row>
    <row r="5" spans="2:8" ht="12.75">
      <c r="B5" s="61" t="s">
        <v>20</v>
      </c>
      <c r="C5" s="19">
        <f aca="true" t="shared" si="0" ref="C5:H5">$D$10*C4</f>
        <v>924.812030075188</v>
      </c>
      <c r="D5" s="19">
        <f t="shared" si="0"/>
        <v>1849.624060150376</v>
      </c>
      <c r="E5" s="19">
        <f t="shared" si="0"/>
        <v>3082.706766917293</v>
      </c>
      <c r="F5" s="19">
        <f t="shared" si="0"/>
        <v>6165.413533834586</v>
      </c>
      <c r="G5" s="19">
        <f t="shared" si="0"/>
        <v>9248.12030075188</v>
      </c>
      <c r="H5" s="20">
        <f t="shared" si="0"/>
        <v>11714.285714285714</v>
      </c>
    </row>
    <row r="6" spans="2:8" ht="12.75">
      <c r="B6" s="60" t="s">
        <v>46</v>
      </c>
      <c r="C6" s="38">
        <f aca="true" t="shared" si="1" ref="C6:H6">$D$11*C4</f>
        <v>659.7744360902255</v>
      </c>
      <c r="D6" s="38">
        <f t="shared" si="1"/>
        <v>1319.548872180451</v>
      </c>
      <c r="E6" s="38">
        <f t="shared" si="1"/>
        <v>2199.248120300752</v>
      </c>
      <c r="F6" s="38">
        <f t="shared" si="1"/>
        <v>4398.496240601504</v>
      </c>
      <c r="G6" s="38">
        <f t="shared" si="1"/>
        <v>6597.744360902256</v>
      </c>
      <c r="H6" s="39">
        <f t="shared" si="1"/>
        <v>8357.142857142857</v>
      </c>
    </row>
    <row r="7" spans="2:8" ht="13.5" thickBot="1">
      <c r="B7" s="62" t="s">
        <v>56</v>
      </c>
      <c r="C7" s="44">
        <f aca="true" t="shared" si="2" ref="C7:H7">SUM(C5:C6)</f>
        <v>1584.5864661654136</v>
      </c>
      <c r="D7" s="44">
        <f t="shared" si="2"/>
        <v>3169.1729323308273</v>
      </c>
      <c r="E7" s="44">
        <f t="shared" si="2"/>
        <v>5281.954887218045</v>
      </c>
      <c r="F7" s="44">
        <f t="shared" si="2"/>
        <v>10563.90977443609</v>
      </c>
      <c r="G7" s="44">
        <f t="shared" si="2"/>
        <v>15845.864661654135</v>
      </c>
      <c r="H7" s="45">
        <f t="shared" si="2"/>
        <v>20071.428571428572</v>
      </c>
    </row>
    <row r="8" spans="2:8" ht="13.5" thickBot="1">
      <c r="B8" s="65"/>
      <c r="C8" s="19"/>
      <c r="D8" s="19"/>
      <c r="E8" s="19"/>
      <c r="F8" s="19"/>
      <c r="G8" s="19"/>
      <c r="H8" s="19"/>
    </row>
    <row r="9" spans="2:5" ht="12.75">
      <c r="B9" s="182" t="s">
        <v>3</v>
      </c>
      <c r="C9" s="183"/>
      <c r="D9" s="176" t="s">
        <v>3</v>
      </c>
      <c r="E9" s="177"/>
    </row>
    <row r="10" spans="2:5" ht="12.75">
      <c r="B10" s="180" t="s">
        <v>20</v>
      </c>
      <c r="C10" s="181"/>
      <c r="D10" s="174">
        <f>(B22/B27)*B21</f>
        <v>12.330827067669173</v>
      </c>
      <c r="E10" s="175"/>
    </row>
    <row r="11" spans="2:5" ht="12.75">
      <c r="B11" s="178" t="s">
        <v>46</v>
      </c>
      <c r="C11" s="179"/>
      <c r="D11" s="172">
        <f>((B29/B27)*B26)*B25</f>
        <v>8.796992481203008</v>
      </c>
      <c r="E11" s="173"/>
    </row>
    <row r="12" spans="2:5" ht="13.5" thickBot="1">
      <c r="B12" s="188" t="s">
        <v>56</v>
      </c>
      <c r="C12" s="189"/>
      <c r="D12" s="184">
        <f>SUM(D10:E11)</f>
        <v>21.127819548872182</v>
      </c>
      <c r="E12" s="185"/>
    </row>
    <row r="13" ht="13.5" thickBot="1"/>
    <row r="14" spans="2:5" ht="12.75">
      <c r="B14" s="182" t="s">
        <v>55</v>
      </c>
      <c r="C14" s="183"/>
      <c r="D14" s="176" t="s">
        <v>55</v>
      </c>
      <c r="E14" s="177"/>
    </row>
    <row r="15" spans="2:5" ht="12.75">
      <c r="B15" s="180" t="s">
        <v>20</v>
      </c>
      <c r="C15" s="181"/>
      <c r="D15" s="174">
        <f>((B22/B27)*B21)/F34</f>
        <v>3.0521849177398943</v>
      </c>
      <c r="E15" s="175"/>
    </row>
    <row r="16" spans="2:5" ht="12.75">
      <c r="B16" s="178" t="s">
        <v>46</v>
      </c>
      <c r="C16" s="179"/>
      <c r="D16" s="172">
        <f>(((B29/B27)*B26)*B25)/F34</f>
        <v>2.177473386436388</v>
      </c>
      <c r="E16" s="173"/>
    </row>
    <row r="17" spans="2:5" ht="13.5" thickBot="1">
      <c r="B17" s="186" t="s">
        <v>56</v>
      </c>
      <c r="C17" s="187"/>
      <c r="D17" s="184">
        <f>SUM(D15:E16)</f>
        <v>5.229658304176283</v>
      </c>
      <c r="E17" s="185"/>
    </row>
    <row r="18" ht="12.75"/>
    <row r="19" ht="12.75"/>
    <row r="20" ht="12.75">
      <c r="B20" s="55" t="s">
        <v>43</v>
      </c>
    </row>
    <row r="21" spans="2:3" ht="12.75">
      <c r="B21">
        <v>0.82</v>
      </c>
      <c r="C21" t="s">
        <v>44</v>
      </c>
    </row>
    <row r="22" spans="2:3" ht="12.75">
      <c r="B22">
        <v>20</v>
      </c>
      <c r="C22" t="s">
        <v>45</v>
      </c>
    </row>
    <row r="23" spans="2:3" ht="12.75">
      <c r="B23">
        <v>0.4</v>
      </c>
      <c r="C23" t="s">
        <v>49</v>
      </c>
    </row>
    <row r="24" spans="2:3" ht="12.75">
      <c r="B24">
        <v>116</v>
      </c>
      <c r="C24" t="s">
        <v>47</v>
      </c>
    </row>
    <row r="25" spans="2:6" ht="12.75">
      <c r="B25">
        <v>29.25</v>
      </c>
      <c r="C25" t="s">
        <v>50</v>
      </c>
      <c r="F25" s="75"/>
    </row>
    <row r="26" spans="2:3" ht="12.75">
      <c r="B26">
        <v>60</v>
      </c>
      <c r="C26" t="s">
        <v>48</v>
      </c>
    </row>
    <row r="27" spans="2:3" ht="12.75">
      <c r="B27">
        <v>1.33</v>
      </c>
      <c r="C27" t="s">
        <v>59</v>
      </c>
    </row>
    <row r="28" ht="12.75"/>
    <row r="29" spans="2:3" ht="12.75">
      <c r="B29" s="42">
        <f>B23/B26</f>
        <v>0.006666666666666667</v>
      </c>
      <c r="C29" t="s">
        <v>51</v>
      </c>
    </row>
    <row r="30" ht="13.5" thickBot="1"/>
    <row r="31" spans="2:14" ht="12.75">
      <c r="B31" s="46" t="s">
        <v>21</v>
      </c>
      <c r="C31" s="73"/>
      <c r="D31" s="73"/>
      <c r="E31" s="73"/>
      <c r="F31" s="47"/>
      <c r="G31" s="47"/>
      <c r="H31" s="47"/>
      <c r="I31" s="48"/>
      <c r="N31" s="3"/>
    </row>
    <row r="32" spans="2:14" ht="12.75">
      <c r="B32" s="70" t="s">
        <v>22</v>
      </c>
      <c r="C32" s="3"/>
      <c r="D32" s="3"/>
      <c r="E32" s="74"/>
      <c r="F32" s="3">
        <v>8.09</v>
      </c>
      <c r="G32" s="3" t="s">
        <v>78</v>
      </c>
      <c r="H32" s="3">
        <v>10.76</v>
      </c>
      <c r="I32" s="11" t="s">
        <v>77</v>
      </c>
      <c r="N32" s="3"/>
    </row>
    <row r="33" spans="2:14" ht="12.75">
      <c r="B33" s="71" t="s">
        <v>24</v>
      </c>
      <c r="C33" s="3"/>
      <c r="D33" s="3"/>
      <c r="E33" s="1"/>
      <c r="F33" s="3">
        <v>4.05</v>
      </c>
      <c r="G33" s="3" t="s">
        <v>78</v>
      </c>
      <c r="H33" s="3">
        <v>5.38</v>
      </c>
      <c r="I33" s="11" t="s">
        <v>77</v>
      </c>
      <c r="N33" s="3"/>
    </row>
    <row r="34" spans="2:14" ht="13.5" thickBot="1">
      <c r="B34" s="15" t="s">
        <v>27</v>
      </c>
      <c r="C34" s="21"/>
      <c r="D34" s="21"/>
      <c r="E34" s="16"/>
      <c r="F34" s="21">
        <f>F32-F33</f>
        <v>4.04</v>
      </c>
      <c r="G34" s="21" t="s">
        <v>78</v>
      </c>
      <c r="H34" s="21">
        <f>H32-H33</f>
        <v>5.38</v>
      </c>
      <c r="I34" s="40" t="s">
        <v>77</v>
      </c>
      <c r="N34" s="3"/>
    </row>
    <row r="39" spans="2:9" ht="12.75">
      <c r="B39" s="3"/>
      <c r="C39" s="3"/>
      <c r="D39" s="3"/>
      <c r="E39" s="3"/>
      <c r="F39" s="3"/>
      <c r="G39" s="3"/>
      <c r="H39" s="3"/>
      <c r="I39" s="3"/>
    </row>
    <row r="40" spans="2:9" ht="12.75">
      <c r="B40" s="3"/>
      <c r="C40" s="3"/>
      <c r="D40" s="169"/>
      <c r="E40" s="169"/>
      <c r="F40" s="169"/>
      <c r="G40" s="169"/>
      <c r="H40" s="169"/>
      <c r="I40" s="169"/>
    </row>
    <row r="41" spans="2:9" ht="12.75">
      <c r="B41" s="3"/>
      <c r="C41" s="3"/>
      <c r="D41" s="65"/>
      <c r="E41" s="65"/>
      <c r="F41" s="65"/>
      <c r="G41" s="65"/>
      <c r="H41" s="65"/>
      <c r="I41" s="65"/>
    </row>
    <row r="42" spans="2:9" ht="12.75">
      <c r="B42" s="3"/>
      <c r="C42" s="3"/>
      <c r="D42" s="3"/>
      <c r="E42" s="3"/>
      <c r="F42" s="3"/>
      <c r="G42" s="3"/>
      <c r="H42" s="3"/>
      <c r="I42" s="3"/>
    </row>
    <row r="43" spans="2:9" ht="12.75">
      <c r="B43" s="3"/>
      <c r="C43" s="3"/>
      <c r="D43" s="3"/>
      <c r="E43" s="3"/>
      <c r="F43" s="3"/>
      <c r="G43" s="3"/>
      <c r="H43" s="3"/>
      <c r="I43" s="3"/>
    </row>
    <row r="44" spans="2:9" ht="12.75">
      <c r="B44" s="3"/>
      <c r="C44" s="3"/>
      <c r="D44" s="3"/>
      <c r="E44" s="3"/>
      <c r="F44" s="3"/>
      <c r="G44" s="3"/>
      <c r="H44" s="3"/>
      <c r="I44" s="3"/>
    </row>
    <row r="45" spans="2:9" ht="12.75">
      <c r="B45" s="3"/>
      <c r="C45" s="3"/>
      <c r="D45" s="3"/>
      <c r="E45" s="3"/>
      <c r="F45" s="3"/>
      <c r="G45" s="3"/>
      <c r="H45" s="3"/>
      <c r="I45" s="3"/>
    </row>
    <row r="46" spans="2:9" ht="12.75">
      <c r="B46" s="3"/>
      <c r="C46" s="3"/>
      <c r="D46" s="3"/>
      <c r="E46" s="3"/>
      <c r="F46" s="3"/>
      <c r="G46" s="3"/>
      <c r="H46" s="3"/>
      <c r="I46" s="3"/>
    </row>
    <row r="47" spans="2:9" ht="12.75">
      <c r="B47" s="3"/>
      <c r="C47" s="3"/>
      <c r="D47" s="3"/>
      <c r="E47" s="3"/>
      <c r="F47" s="3"/>
      <c r="G47" s="3"/>
      <c r="H47" s="3"/>
      <c r="I47" s="3"/>
    </row>
  </sheetData>
  <mergeCells count="18">
    <mergeCell ref="B11:C11"/>
    <mergeCell ref="B10:C10"/>
    <mergeCell ref="B9:C9"/>
    <mergeCell ref="D17:E17"/>
    <mergeCell ref="B17:C17"/>
    <mergeCell ref="D12:E12"/>
    <mergeCell ref="B12:C12"/>
    <mergeCell ref="B14:C14"/>
    <mergeCell ref="D40:I40"/>
    <mergeCell ref="C3:H3"/>
    <mergeCell ref="D16:E16"/>
    <mergeCell ref="D15:E15"/>
    <mergeCell ref="D14:E14"/>
    <mergeCell ref="B16:C16"/>
    <mergeCell ref="B15:C15"/>
    <mergeCell ref="D11:E11"/>
    <mergeCell ref="D10:E10"/>
    <mergeCell ref="D9:E9"/>
  </mergeCells>
  <printOptions/>
  <pageMargins left="0.75" right="0.75" top="1" bottom="1" header="0" footer="0"/>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M37"/>
  <sheetViews>
    <sheetView workbookViewId="0" topLeftCell="A1">
      <selection activeCell="I16" sqref="I16"/>
    </sheetView>
  </sheetViews>
  <sheetFormatPr defaultColWidth="9.140625" defaultRowHeight="12.75"/>
  <cols>
    <col min="2" max="2" width="5.421875" style="0" customWidth="1"/>
    <col min="3" max="3" width="11.00390625" style="0" customWidth="1"/>
    <col min="4" max="4" width="11.57421875" style="0" customWidth="1"/>
    <col min="5" max="5" width="10.8515625" style="0" customWidth="1"/>
    <col min="6" max="7" width="9.28125" style="0" bestFit="1" customWidth="1"/>
    <col min="8" max="8" width="9.421875" style="0" bestFit="1" customWidth="1"/>
    <col min="9" max="10" width="9.28125" style="0" bestFit="1" customWidth="1"/>
  </cols>
  <sheetData>
    <row r="1" spans="1:3" ht="15.75">
      <c r="A1" s="6" t="s">
        <v>4</v>
      </c>
      <c r="C1" s="5"/>
    </row>
    <row r="2" ht="13.5" thickBot="1"/>
    <row r="3" spans="2:9" ht="12.75">
      <c r="B3" s="7"/>
      <c r="C3" s="8"/>
      <c r="D3" s="190" t="s">
        <v>1</v>
      </c>
      <c r="E3" s="190"/>
      <c r="F3" s="190"/>
      <c r="G3" s="190"/>
      <c r="H3" s="190"/>
      <c r="I3" s="191"/>
    </row>
    <row r="4" spans="2:9" ht="12.75">
      <c r="B4" s="9"/>
      <c r="C4" s="4"/>
      <c r="D4" s="35">
        <v>75</v>
      </c>
      <c r="E4" s="35">
        <v>150</v>
      </c>
      <c r="F4" s="35">
        <v>250</v>
      </c>
      <c r="G4" s="35">
        <v>500</v>
      </c>
      <c r="H4" s="35">
        <v>750</v>
      </c>
      <c r="I4" s="36">
        <v>950</v>
      </c>
    </row>
    <row r="5" spans="2:9" ht="12.75">
      <c r="B5" s="34" t="s">
        <v>18</v>
      </c>
      <c r="C5" s="1"/>
      <c r="D5" s="1"/>
      <c r="E5" s="1"/>
      <c r="F5" s="1"/>
      <c r="G5" s="1"/>
      <c r="H5" s="1"/>
      <c r="I5" s="11"/>
    </row>
    <row r="6" spans="2:9" ht="12.75">
      <c r="B6" s="10"/>
      <c r="C6" s="1" t="s">
        <v>13</v>
      </c>
      <c r="D6" s="25">
        <f>H32</f>
        <v>8910</v>
      </c>
      <c r="E6" s="25">
        <f aca="true" t="shared" si="0" ref="E6:I8">I32</f>
        <v>18420</v>
      </c>
      <c r="F6" s="25">
        <f t="shared" si="0"/>
        <v>27360</v>
      </c>
      <c r="G6" s="25">
        <f t="shared" si="0"/>
        <v>48600</v>
      </c>
      <c r="H6" s="25">
        <f t="shared" si="0"/>
        <v>81540</v>
      </c>
      <c r="I6" s="13">
        <f t="shared" si="0"/>
        <v>99810</v>
      </c>
    </row>
    <row r="7" spans="2:11" ht="12.75">
      <c r="B7" s="10"/>
      <c r="C7" s="1" t="s">
        <v>14</v>
      </c>
      <c r="D7" s="25">
        <f>H33</f>
        <v>11495</v>
      </c>
      <c r="E7" s="25">
        <f t="shared" si="0"/>
        <v>22590</v>
      </c>
      <c r="F7" s="25">
        <f t="shared" si="0"/>
        <v>33020</v>
      </c>
      <c r="G7" s="25">
        <f t="shared" si="0"/>
        <v>57800</v>
      </c>
      <c r="H7" s="25">
        <f t="shared" si="0"/>
        <v>96230</v>
      </c>
      <c r="I7" s="13">
        <f t="shared" si="0"/>
        <v>117545</v>
      </c>
      <c r="K7" s="1"/>
    </row>
    <row r="8" spans="2:9" ht="12.75">
      <c r="B8" s="9"/>
      <c r="C8" s="4" t="s">
        <v>2</v>
      </c>
      <c r="D8" s="30">
        <f>H34</f>
        <v>9855.5</v>
      </c>
      <c r="E8" s="30">
        <f t="shared" si="0"/>
        <v>19841</v>
      </c>
      <c r="F8" s="30">
        <f t="shared" si="0"/>
        <v>29228</v>
      </c>
      <c r="G8" s="30">
        <f t="shared" si="0"/>
        <v>51530</v>
      </c>
      <c r="H8" s="30">
        <f t="shared" si="0"/>
        <v>86117</v>
      </c>
      <c r="I8" s="31">
        <f t="shared" si="0"/>
        <v>105300.5</v>
      </c>
    </row>
    <row r="9" spans="2:9" ht="12.75">
      <c r="B9" s="34" t="s">
        <v>15</v>
      </c>
      <c r="C9" s="1"/>
      <c r="D9" s="1"/>
      <c r="E9" s="1"/>
      <c r="F9" s="1"/>
      <c r="G9" s="1"/>
      <c r="H9" s="1"/>
      <c r="I9" s="11"/>
    </row>
    <row r="10" spans="2:9" ht="12.75">
      <c r="B10" s="10"/>
      <c r="C10" s="1" t="s">
        <v>13</v>
      </c>
      <c r="D10" s="26">
        <f aca="true" t="shared" si="1" ref="D10:I10">D6/(E21)</f>
        <v>30</v>
      </c>
      <c r="E10" s="26">
        <f t="shared" si="1"/>
        <v>30</v>
      </c>
      <c r="F10" s="26">
        <f t="shared" si="1"/>
        <v>30</v>
      </c>
      <c r="G10" s="26">
        <f t="shared" si="1"/>
        <v>30</v>
      </c>
      <c r="H10" s="26">
        <f t="shared" si="1"/>
        <v>30</v>
      </c>
      <c r="I10" s="14">
        <f t="shared" si="1"/>
        <v>30</v>
      </c>
    </row>
    <row r="11" spans="2:9" ht="12.75">
      <c r="B11" s="10"/>
      <c r="C11" s="1" t="s">
        <v>14</v>
      </c>
      <c r="D11" s="26">
        <f aca="true" t="shared" si="2" ref="D11:I11">D7/E21</f>
        <v>38.7037037037037</v>
      </c>
      <c r="E11" s="26">
        <f t="shared" si="2"/>
        <v>36.79153094462541</v>
      </c>
      <c r="F11" s="26">
        <f t="shared" si="2"/>
        <v>36.20614035087719</v>
      </c>
      <c r="G11" s="26">
        <f t="shared" si="2"/>
        <v>35.67901234567901</v>
      </c>
      <c r="H11" s="26">
        <f t="shared" si="2"/>
        <v>35.404709345106696</v>
      </c>
      <c r="I11" s="14">
        <f t="shared" si="2"/>
        <v>35.330628193567776</v>
      </c>
    </row>
    <row r="12" spans="2:9" ht="12.75">
      <c r="B12" s="9"/>
      <c r="C12" s="4" t="s">
        <v>2</v>
      </c>
      <c r="D12" s="32">
        <f aca="true" t="shared" si="3" ref="D12:I12">D8/E21</f>
        <v>33.18350168350168</v>
      </c>
      <c r="E12" s="32">
        <f t="shared" si="3"/>
        <v>32.314332247557005</v>
      </c>
      <c r="F12" s="32">
        <f t="shared" si="3"/>
        <v>32.04824561403509</v>
      </c>
      <c r="G12" s="32">
        <f t="shared" si="3"/>
        <v>31.808641975308642</v>
      </c>
      <c r="H12" s="32">
        <f t="shared" si="3"/>
        <v>31.683958793230317</v>
      </c>
      <c r="I12" s="33">
        <f t="shared" si="3"/>
        <v>31.65028554253081</v>
      </c>
    </row>
    <row r="13" spans="2:9" ht="12.75">
      <c r="B13" s="34" t="s">
        <v>3</v>
      </c>
      <c r="C13" s="1"/>
      <c r="D13" s="27"/>
      <c r="E13" s="27"/>
      <c r="F13" s="27"/>
      <c r="G13" s="27"/>
      <c r="H13" s="27"/>
      <c r="I13" s="11"/>
    </row>
    <row r="14" spans="2:9" ht="12.75">
      <c r="B14" s="10"/>
      <c r="C14" s="1" t="s">
        <v>13</v>
      </c>
      <c r="D14" s="28">
        <f>D6/$D$4</f>
        <v>118.8</v>
      </c>
      <c r="E14" s="28">
        <f>E6/$E$4</f>
        <v>122.8</v>
      </c>
      <c r="F14" s="28">
        <f>F6/$F$4</f>
        <v>109.44</v>
      </c>
      <c r="G14" s="28">
        <f>G6/$G$4</f>
        <v>97.2</v>
      </c>
      <c r="H14" s="28">
        <f>H6/$H$4</f>
        <v>108.72</v>
      </c>
      <c r="I14" s="13">
        <f>I6/$I$4</f>
        <v>105.06315789473685</v>
      </c>
    </row>
    <row r="15" spans="2:9" ht="12.75">
      <c r="B15" s="10"/>
      <c r="C15" s="1" t="s">
        <v>14</v>
      </c>
      <c r="D15" s="28">
        <f>D7/$D$4</f>
        <v>153.26666666666668</v>
      </c>
      <c r="E15" s="28">
        <f>E7/$E$4</f>
        <v>150.6</v>
      </c>
      <c r="F15" s="28">
        <f>F7/$F$4</f>
        <v>132.08</v>
      </c>
      <c r="G15" s="28">
        <f>G7/$G$4</f>
        <v>115.6</v>
      </c>
      <c r="H15" s="28">
        <f>H7/$H$4</f>
        <v>128.30666666666667</v>
      </c>
      <c r="I15" s="13">
        <f>I7/$I$4</f>
        <v>123.73157894736842</v>
      </c>
    </row>
    <row r="16" spans="2:9" ht="13.5" thickBot="1">
      <c r="B16" s="15"/>
      <c r="C16" s="16" t="s">
        <v>2</v>
      </c>
      <c r="D16" s="29">
        <f>D8/$D$4</f>
        <v>131.40666666666667</v>
      </c>
      <c r="E16" s="29">
        <f>E8/$E$4</f>
        <v>132.27333333333334</v>
      </c>
      <c r="F16" s="29">
        <f>F8/$F$4</f>
        <v>116.912</v>
      </c>
      <c r="G16" s="29">
        <f>G8/$G$4</f>
        <v>103.06</v>
      </c>
      <c r="H16" s="29">
        <f>H8/$H$4</f>
        <v>114.82266666666666</v>
      </c>
      <c r="I16" s="23">
        <f>I8/$I$4</f>
        <v>110.84263157894736</v>
      </c>
    </row>
    <row r="17" ht="12.75">
      <c r="G17" s="3"/>
    </row>
    <row r="18" ht="13.5" thickBot="1"/>
    <row r="19" spans="3:10" ht="12.75">
      <c r="C19" s="17"/>
      <c r="D19" s="8"/>
      <c r="E19" s="165" t="s">
        <v>1</v>
      </c>
      <c r="F19" s="165"/>
      <c r="G19" s="165"/>
      <c r="H19" s="165"/>
      <c r="I19" s="165"/>
      <c r="J19" s="171"/>
    </row>
    <row r="20" spans="3:10" ht="12.75">
      <c r="C20" s="34" t="s">
        <v>35</v>
      </c>
      <c r="D20" s="1"/>
      <c r="E20" s="69">
        <v>75</v>
      </c>
      <c r="F20" s="57">
        <v>150</v>
      </c>
      <c r="G20" s="57">
        <v>250</v>
      </c>
      <c r="H20" s="57">
        <v>500</v>
      </c>
      <c r="I20" s="57">
        <v>750</v>
      </c>
      <c r="J20" s="36">
        <v>950</v>
      </c>
    </row>
    <row r="21" spans="3:10" ht="13.5" thickBot="1">
      <c r="C21" s="15" t="s">
        <v>31</v>
      </c>
      <c r="D21" s="16"/>
      <c r="E21" s="44">
        <v>297</v>
      </c>
      <c r="F21" s="44">
        <v>614</v>
      </c>
      <c r="G21" s="44">
        <v>912</v>
      </c>
      <c r="H21" s="44">
        <v>1620</v>
      </c>
      <c r="I21" s="44">
        <v>2718</v>
      </c>
      <c r="J21" s="45">
        <v>3327</v>
      </c>
    </row>
    <row r="24" ht="13.5" thickBot="1"/>
    <row r="25" spans="3:13" ht="12.75">
      <c r="C25" s="17"/>
      <c r="D25" s="8"/>
      <c r="E25" s="18"/>
      <c r="F25" s="18"/>
      <c r="G25" s="18"/>
      <c r="H25" s="192" t="s">
        <v>1</v>
      </c>
      <c r="I25" s="192"/>
      <c r="J25" s="192"/>
      <c r="K25" s="192"/>
      <c r="L25" s="192"/>
      <c r="M25" s="193"/>
    </row>
    <row r="26" spans="3:13" ht="12.75">
      <c r="C26" s="9"/>
      <c r="D26" s="4"/>
      <c r="E26" s="2" t="s">
        <v>9</v>
      </c>
      <c r="F26" s="2" t="s">
        <v>10</v>
      </c>
      <c r="G26" s="2"/>
      <c r="H26" s="2">
        <v>75</v>
      </c>
      <c r="I26" s="2">
        <v>150</v>
      </c>
      <c r="J26" s="2">
        <v>250</v>
      </c>
      <c r="K26" s="2">
        <v>500</v>
      </c>
      <c r="L26" s="2">
        <v>750</v>
      </c>
      <c r="M26" s="43">
        <v>950</v>
      </c>
    </row>
    <row r="27" spans="3:13" ht="12.75">
      <c r="C27" s="10" t="s">
        <v>5</v>
      </c>
      <c r="D27" s="1"/>
      <c r="E27" s="3">
        <v>1100</v>
      </c>
      <c r="F27" s="3">
        <v>35</v>
      </c>
      <c r="G27" s="3"/>
      <c r="H27" s="19">
        <f>E27+($E$21*F27)</f>
        <v>11495</v>
      </c>
      <c r="I27" s="19">
        <f>E27+($F$21*F27)</f>
        <v>22590</v>
      </c>
      <c r="J27" s="19">
        <f>E27+($G$21*F27)</f>
        <v>33020</v>
      </c>
      <c r="K27" s="19">
        <f>E27+($H$21*F27)</f>
        <v>57800</v>
      </c>
      <c r="L27" s="19">
        <f>E27+($I$21*F27)</f>
        <v>96230</v>
      </c>
      <c r="M27" s="20">
        <f>E27+($J$21*F27)</f>
        <v>117545</v>
      </c>
    </row>
    <row r="28" spans="3:13" ht="12.75">
      <c r="C28" s="10" t="s">
        <v>6</v>
      </c>
      <c r="D28" s="1"/>
      <c r="E28" s="3">
        <v>600</v>
      </c>
      <c r="F28" s="3">
        <v>30</v>
      </c>
      <c r="G28" s="3"/>
      <c r="H28" s="19">
        <f>E28+($E$21*F28)</f>
        <v>9510</v>
      </c>
      <c r="I28" s="19">
        <f>E28+($F$21*F28)</f>
        <v>19020</v>
      </c>
      <c r="J28" s="19">
        <f>E28+($G$21*F28)</f>
        <v>27960</v>
      </c>
      <c r="K28" s="19">
        <f>E28+($H$21*F28)</f>
        <v>49200</v>
      </c>
      <c r="L28" s="19">
        <f>E28+($I$21*F28)</f>
        <v>82140</v>
      </c>
      <c r="M28" s="20">
        <f>E28+($J$21*F28)</f>
        <v>100410</v>
      </c>
    </row>
    <row r="29" spans="3:13" ht="12.75">
      <c r="C29" s="10" t="s">
        <v>7</v>
      </c>
      <c r="D29" s="1"/>
      <c r="E29" s="3">
        <v>0</v>
      </c>
      <c r="F29" s="3">
        <v>30</v>
      </c>
      <c r="G29" s="3"/>
      <c r="H29" s="19">
        <f>E29+($E$21*F29)</f>
        <v>8910</v>
      </c>
      <c r="I29" s="19">
        <f>E29+($F$21*F29)</f>
        <v>18420</v>
      </c>
      <c r="J29" s="19">
        <f>E29+($G$21*F29)</f>
        <v>27360</v>
      </c>
      <c r="K29" s="19">
        <f>E29+($H$21*F29)</f>
        <v>48600</v>
      </c>
      <c r="L29" s="19">
        <f>E29+($I$21*F29)</f>
        <v>81540</v>
      </c>
      <c r="M29" s="20">
        <f>E29+($J$21*F29)</f>
        <v>99810</v>
      </c>
    </row>
    <row r="30" spans="3:13" ht="12.75">
      <c r="C30" s="9" t="s">
        <v>8</v>
      </c>
      <c r="D30" s="4"/>
      <c r="E30" s="2">
        <v>300</v>
      </c>
      <c r="F30" s="2">
        <v>31</v>
      </c>
      <c r="G30" s="2"/>
      <c r="H30" s="38">
        <f>E30+($E$21*F30)</f>
        <v>9507</v>
      </c>
      <c r="I30" s="38">
        <f>E30+($F$21*F30)</f>
        <v>19334</v>
      </c>
      <c r="J30" s="38">
        <f>E30+($G$21*F30)</f>
        <v>28572</v>
      </c>
      <c r="K30" s="38">
        <f>E30+($H$21*F30)</f>
        <v>50520</v>
      </c>
      <c r="L30" s="38">
        <f>E30+($I$21*F30)</f>
        <v>84558</v>
      </c>
      <c r="M30" s="39">
        <f>E30+($J$21*F30)</f>
        <v>103437</v>
      </c>
    </row>
    <row r="31" spans="3:13" ht="12.75">
      <c r="C31" s="10"/>
      <c r="D31" s="1"/>
      <c r="E31" s="3"/>
      <c r="F31" s="3"/>
      <c r="G31" s="3"/>
      <c r="H31" s="19"/>
      <c r="I31" s="19"/>
      <c r="J31" s="19"/>
      <c r="K31" s="19"/>
      <c r="L31" s="19"/>
      <c r="M31" s="20"/>
    </row>
    <row r="32" spans="3:13" ht="12.75">
      <c r="C32" s="10" t="s">
        <v>11</v>
      </c>
      <c r="D32" s="1"/>
      <c r="E32" s="3"/>
      <c r="F32" s="3"/>
      <c r="G32" s="3"/>
      <c r="H32" s="19">
        <f aca="true" t="shared" si="4" ref="H32:M32">MIN(H27:H30)</f>
        <v>8910</v>
      </c>
      <c r="I32" s="19">
        <f t="shared" si="4"/>
        <v>18420</v>
      </c>
      <c r="J32" s="19">
        <f t="shared" si="4"/>
        <v>27360</v>
      </c>
      <c r="K32" s="19">
        <f t="shared" si="4"/>
        <v>48600</v>
      </c>
      <c r="L32" s="19">
        <f t="shared" si="4"/>
        <v>81540</v>
      </c>
      <c r="M32" s="20">
        <f t="shared" si="4"/>
        <v>99810</v>
      </c>
    </row>
    <row r="33" spans="3:13" ht="12.75">
      <c r="C33" s="10" t="s">
        <v>12</v>
      </c>
      <c r="D33" s="1"/>
      <c r="E33" s="3"/>
      <c r="F33" s="3"/>
      <c r="G33" s="3"/>
      <c r="H33" s="12">
        <f aca="true" t="shared" si="5" ref="H33:M33">MAX(H27:H30)</f>
        <v>11495</v>
      </c>
      <c r="I33" s="12">
        <f t="shared" si="5"/>
        <v>22590</v>
      </c>
      <c r="J33" s="12">
        <f t="shared" si="5"/>
        <v>33020</v>
      </c>
      <c r="K33" s="12">
        <f t="shared" si="5"/>
        <v>57800</v>
      </c>
      <c r="L33" s="12">
        <f t="shared" si="5"/>
        <v>96230</v>
      </c>
      <c r="M33" s="13">
        <f t="shared" si="5"/>
        <v>117545</v>
      </c>
    </row>
    <row r="34" spans="3:13" ht="13.5" thickBot="1">
      <c r="C34" s="15" t="s">
        <v>2</v>
      </c>
      <c r="D34" s="16"/>
      <c r="E34" s="21"/>
      <c r="F34" s="21"/>
      <c r="G34" s="21"/>
      <c r="H34" s="22">
        <f aca="true" t="shared" si="6" ref="H34:M34">AVERAGE(H27:H30)</f>
        <v>9855.5</v>
      </c>
      <c r="I34" s="22">
        <f t="shared" si="6"/>
        <v>19841</v>
      </c>
      <c r="J34" s="22">
        <f t="shared" si="6"/>
        <v>29228</v>
      </c>
      <c r="K34" s="22">
        <f t="shared" si="6"/>
        <v>51530</v>
      </c>
      <c r="L34" s="22">
        <f t="shared" si="6"/>
        <v>86117</v>
      </c>
      <c r="M34" s="23">
        <f t="shared" si="6"/>
        <v>105300.5</v>
      </c>
    </row>
    <row r="37" spans="2:3" ht="14.25">
      <c r="B37" t="s">
        <v>16</v>
      </c>
      <c r="C37" s="24" t="s">
        <v>17</v>
      </c>
    </row>
  </sheetData>
  <mergeCells count="3">
    <mergeCell ref="D3:I3"/>
    <mergeCell ref="H25:M25"/>
    <mergeCell ref="E19:J19"/>
  </mergeCells>
  <printOptions/>
  <pageMargins left="0.75" right="0.75" top="1" bottom="1"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23"/>
  <sheetViews>
    <sheetView workbookViewId="0" topLeftCell="A1">
      <selection activeCell="K7" sqref="K7"/>
    </sheetView>
  </sheetViews>
  <sheetFormatPr defaultColWidth="9.140625" defaultRowHeight="12.75"/>
  <cols>
    <col min="2" max="2" width="10.57421875" style="0" customWidth="1"/>
    <col min="3" max="3" width="13.28125" style="0" customWidth="1"/>
    <col min="4" max="4" width="11.28125" style="0" bestFit="1" customWidth="1"/>
    <col min="5" max="9" width="9.28125" style="0" bestFit="1" customWidth="1"/>
  </cols>
  <sheetData>
    <row r="1" spans="1:3" ht="15.75">
      <c r="A1" s="6" t="s">
        <v>0</v>
      </c>
      <c r="C1" s="5"/>
    </row>
    <row r="2" ht="13.5" thickBot="1"/>
    <row r="3" spans="3:9" ht="12.75">
      <c r="C3" s="56"/>
      <c r="D3" s="165" t="s">
        <v>1</v>
      </c>
      <c r="E3" s="165"/>
      <c r="F3" s="165"/>
      <c r="G3" s="165"/>
      <c r="H3" s="165"/>
      <c r="I3" s="171"/>
    </row>
    <row r="4" spans="2:9" ht="12.75">
      <c r="B4" s="3"/>
      <c r="C4" s="60"/>
      <c r="D4" s="57">
        <v>75</v>
      </c>
      <c r="E4" s="57">
        <v>150</v>
      </c>
      <c r="F4" s="57">
        <v>250</v>
      </c>
      <c r="G4" s="57">
        <v>500</v>
      </c>
      <c r="H4" s="57">
        <v>750</v>
      </c>
      <c r="I4" s="36">
        <v>950</v>
      </c>
    </row>
    <row r="5" spans="2:9" ht="12.75">
      <c r="B5" s="3"/>
      <c r="C5" s="61"/>
      <c r="D5" s="3"/>
      <c r="E5" s="3"/>
      <c r="F5" s="3"/>
      <c r="G5" s="3"/>
      <c r="H5" s="3"/>
      <c r="I5" s="11"/>
    </row>
    <row r="6" spans="2:9" ht="12.75">
      <c r="B6" s="3"/>
      <c r="C6" s="61" t="s">
        <v>32</v>
      </c>
      <c r="D6" s="19">
        <f aca="true" t="shared" si="0" ref="D6:I7">D16*D22</f>
        <v>48832</v>
      </c>
      <c r="E6" s="19">
        <f t="shared" si="0"/>
        <v>75613.44</v>
      </c>
      <c r="F6" s="19">
        <f t="shared" si="0"/>
        <v>122967.04000000001</v>
      </c>
      <c r="G6" s="19">
        <f t="shared" si="0"/>
        <v>227893.12</v>
      </c>
      <c r="H6" s="19">
        <f t="shared" si="0"/>
        <v>204216.32</v>
      </c>
      <c r="I6" s="20">
        <f t="shared" si="0"/>
        <v>292454.4</v>
      </c>
    </row>
    <row r="7" spans="3:9" ht="12.75">
      <c r="C7" s="61" t="s">
        <v>29</v>
      </c>
      <c r="D7" s="19">
        <f t="shared" si="0"/>
        <v>58844</v>
      </c>
      <c r="E7" s="19">
        <f t="shared" si="0"/>
        <v>133588.4</v>
      </c>
      <c r="F7" s="19">
        <f t="shared" si="0"/>
        <v>182416.4</v>
      </c>
      <c r="G7" s="19">
        <f t="shared" si="0"/>
        <v>302204.63</v>
      </c>
      <c r="H7" s="19">
        <f t="shared" si="0"/>
        <v>605968</v>
      </c>
      <c r="I7" s="20">
        <f t="shared" si="0"/>
        <v>680821.9500000001</v>
      </c>
    </row>
    <row r="8" spans="3:9" ht="12.75">
      <c r="C8" s="61"/>
      <c r="D8" s="19"/>
      <c r="E8" s="19"/>
      <c r="F8" s="19"/>
      <c r="G8" s="19"/>
      <c r="H8" s="19"/>
      <c r="I8" s="20"/>
    </row>
    <row r="9" spans="3:9" ht="12.75">
      <c r="C9" s="61" t="s">
        <v>33</v>
      </c>
      <c r="D9" s="19">
        <f aca="true" t="shared" si="1" ref="D9:I9">SUM(D6:D7)</f>
        <v>107676</v>
      </c>
      <c r="E9" s="19">
        <f t="shared" si="1"/>
        <v>209201.84</v>
      </c>
      <c r="F9" s="19">
        <f t="shared" si="1"/>
        <v>305383.44</v>
      </c>
      <c r="G9" s="19">
        <f t="shared" si="1"/>
        <v>530097.75</v>
      </c>
      <c r="H9" s="19">
        <f t="shared" si="1"/>
        <v>810184.3200000001</v>
      </c>
      <c r="I9" s="20">
        <f t="shared" si="1"/>
        <v>973276.3500000001</v>
      </c>
    </row>
    <row r="10" spans="3:9" ht="13.5" thickBot="1">
      <c r="C10" s="62" t="s">
        <v>3</v>
      </c>
      <c r="D10" s="44">
        <f aca="true" t="shared" si="2" ref="D10:I10">D9/D4</f>
        <v>1435.68</v>
      </c>
      <c r="E10" s="44">
        <f t="shared" si="2"/>
        <v>1394.6789333333334</v>
      </c>
      <c r="F10" s="44">
        <f t="shared" si="2"/>
        <v>1221.53376</v>
      </c>
      <c r="G10" s="44">
        <f t="shared" si="2"/>
        <v>1060.1955</v>
      </c>
      <c r="H10" s="44">
        <f t="shared" si="2"/>
        <v>1080.24576</v>
      </c>
      <c r="I10" s="45">
        <f t="shared" si="2"/>
        <v>1024.5014210526317</v>
      </c>
    </row>
    <row r="11" ht="12.75">
      <c r="C11" s="3"/>
    </row>
    <row r="13" ht="13.5" thickBot="1"/>
    <row r="14" spans="2:9" ht="12.75">
      <c r="B14" s="17"/>
      <c r="C14" s="8"/>
      <c r="D14" s="192" t="s">
        <v>1</v>
      </c>
      <c r="E14" s="192"/>
      <c r="F14" s="192"/>
      <c r="G14" s="192"/>
      <c r="H14" s="192"/>
      <c r="I14" s="193"/>
    </row>
    <row r="15" spans="2:9" ht="12.75">
      <c r="B15" s="10" t="s">
        <v>28</v>
      </c>
      <c r="C15" s="1"/>
      <c r="D15" s="2">
        <v>75</v>
      </c>
      <c r="E15" s="2">
        <v>150</v>
      </c>
      <c r="F15" s="2">
        <v>250</v>
      </c>
      <c r="G15" s="2">
        <v>500</v>
      </c>
      <c r="H15" s="2">
        <v>750</v>
      </c>
      <c r="I15" s="43">
        <v>950</v>
      </c>
    </row>
    <row r="16" spans="2:9" ht="12.75">
      <c r="B16" s="10" t="s">
        <v>30</v>
      </c>
      <c r="C16" s="1"/>
      <c r="D16" s="19">
        <v>109</v>
      </c>
      <c r="E16" s="19">
        <v>174</v>
      </c>
      <c r="F16" s="19">
        <v>292</v>
      </c>
      <c r="G16" s="19">
        <v>559</v>
      </c>
      <c r="H16" s="19">
        <v>518</v>
      </c>
      <c r="I16" s="20">
        <v>768</v>
      </c>
    </row>
    <row r="17" spans="2:9" ht="13.5" thickBot="1">
      <c r="B17" s="15" t="s">
        <v>29</v>
      </c>
      <c r="C17" s="16"/>
      <c r="D17" s="44">
        <v>188</v>
      </c>
      <c r="E17" s="44">
        <v>440</v>
      </c>
      <c r="F17" s="44">
        <v>620</v>
      </c>
      <c r="G17" s="44">
        <v>1061</v>
      </c>
      <c r="H17" s="44">
        <v>2200</v>
      </c>
      <c r="I17" s="45">
        <v>2559</v>
      </c>
    </row>
    <row r="21" ht="12.75">
      <c r="B21" t="s">
        <v>79</v>
      </c>
    </row>
    <row r="22" spans="3:9" ht="12.75">
      <c r="C22" t="s">
        <v>32</v>
      </c>
      <c r="D22" s="42">
        <v>448</v>
      </c>
      <c r="E22" s="42">
        <f>D22*0.97</f>
        <v>434.56</v>
      </c>
      <c r="F22" s="42">
        <f>D22*0.94</f>
        <v>421.12</v>
      </c>
      <c r="G22" s="42">
        <f>D22*0.91</f>
        <v>407.68</v>
      </c>
      <c r="H22" s="42">
        <f>D22*0.88</f>
        <v>394.24</v>
      </c>
      <c r="I22" s="42">
        <f>D22*0.85</f>
        <v>380.8</v>
      </c>
    </row>
    <row r="23" spans="3:9" ht="12.75">
      <c r="C23" t="s">
        <v>29</v>
      </c>
      <c r="D23" s="42">
        <v>313</v>
      </c>
      <c r="E23" s="42">
        <f>D23*0.97</f>
        <v>303.61</v>
      </c>
      <c r="F23" s="42">
        <f>D23*0.94</f>
        <v>294.21999999999997</v>
      </c>
      <c r="G23" s="42">
        <f>D23*0.91</f>
        <v>284.83</v>
      </c>
      <c r="H23" s="42">
        <f>D23*0.88</f>
        <v>275.44</v>
      </c>
      <c r="I23" s="42">
        <f>D23*0.85</f>
        <v>266.05</v>
      </c>
    </row>
  </sheetData>
  <mergeCells count="2">
    <mergeCell ref="D3:I3"/>
    <mergeCell ref="D14:I14"/>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J50" sqref="J50"/>
    </sheetView>
  </sheetViews>
  <sheetFormatPr defaultColWidth="9.140625" defaultRowHeight="12.75"/>
  <sheetData>
    <row r="1" ht="15.75">
      <c r="A1" s="6" t="s">
        <v>57</v>
      </c>
    </row>
    <row r="3" ht="13.5" thickBot="1"/>
    <row r="4" spans="2:5" ht="12.75">
      <c r="B4" s="182"/>
      <c r="C4" s="183"/>
      <c r="D4" s="176" t="s">
        <v>61</v>
      </c>
      <c r="E4" s="177"/>
    </row>
    <row r="5" spans="2:5" ht="12.75">
      <c r="B5" s="180" t="s">
        <v>3</v>
      </c>
      <c r="C5" s="181"/>
      <c r="D5" s="174">
        <f>(B10/B11)*B12</f>
        <v>392.52631578947364</v>
      </c>
      <c r="E5" s="175"/>
    </row>
    <row r="6" spans="2:5" ht="13.5" thickBot="1">
      <c r="B6" s="188" t="s">
        <v>55</v>
      </c>
      <c r="C6" s="189"/>
      <c r="D6" s="184">
        <f>D5/F18</f>
        <v>97.1599791558103</v>
      </c>
      <c r="E6" s="185"/>
    </row>
    <row r="9" ht="12.75">
      <c r="B9" s="55" t="s">
        <v>43</v>
      </c>
    </row>
    <row r="10" spans="2:3" ht="12.75">
      <c r="B10">
        <v>0.84</v>
      </c>
      <c r="C10" t="s">
        <v>58</v>
      </c>
    </row>
    <row r="11" spans="2:3" ht="12.75">
      <c r="B11">
        <v>1.33</v>
      </c>
      <c r="C11" t="s">
        <v>59</v>
      </c>
    </row>
    <row r="12" spans="2:3" ht="12.75">
      <c r="B12">
        <v>621.5</v>
      </c>
      <c r="C12" t="s">
        <v>60</v>
      </c>
    </row>
    <row r="14" ht="13.5" thickBot="1"/>
    <row r="15" spans="2:9" ht="12.75">
      <c r="B15" s="46" t="s">
        <v>21</v>
      </c>
      <c r="C15" s="73"/>
      <c r="D15" s="73"/>
      <c r="E15" s="73"/>
      <c r="F15" s="47"/>
      <c r="G15" s="47"/>
      <c r="H15" s="47"/>
      <c r="I15" s="48"/>
    </row>
    <row r="16" spans="2:9" ht="12.75">
      <c r="B16" s="70" t="s">
        <v>22</v>
      </c>
      <c r="C16" s="3"/>
      <c r="D16" s="3"/>
      <c r="E16" s="74"/>
      <c r="F16" s="3">
        <v>8.09</v>
      </c>
      <c r="G16" s="3" t="s">
        <v>78</v>
      </c>
      <c r="H16" s="3">
        <v>10.76</v>
      </c>
      <c r="I16" s="11" t="s">
        <v>77</v>
      </c>
    </row>
    <row r="17" spans="2:9" ht="12.75">
      <c r="B17" s="71" t="s">
        <v>24</v>
      </c>
      <c r="C17" s="3"/>
      <c r="D17" s="3"/>
      <c r="E17" s="1"/>
      <c r="F17" s="3">
        <v>4.05</v>
      </c>
      <c r="G17" s="3" t="s">
        <v>78</v>
      </c>
      <c r="H17" s="3">
        <v>5.38</v>
      </c>
      <c r="I17" s="11" t="s">
        <v>77</v>
      </c>
    </row>
    <row r="18" spans="2:9" ht="13.5" thickBot="1">
      <c r="B18" s="15" t="s">
        <v>27</v>
      </c>
      <c r="C18" s="21"/>
      <c r="D18" s="21"/>
      <c r="E18" s="16"/>
      <c r="F18" s="21">
        <f>F16-F17</f>
        <v>4.04</v>
      </c>
      <c r="G18" s="21" t="s">
        <v>78</v>
      </c>
      <c r="H18" s="21">
        <f>H16-H17</f>
        <v>5.38</v>
      </c>
      <c r="I18" s="40" t="s">
        <v>77</v>
      </c>
    </row>
  </sheetData>
  <mergeCells count="6">
    <mergeCell ref="B6:C6"/>
    <mergeCell ref="D6:E6"/>
    <mergeCell ref="B4:C4"/>
    <mergeCell ref="D4:E4"/>
    <mergeCell ref="B5:C5"/>
    <mergeCell ref="D5:E5"/>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G17" sqref="G17"/>
    </sheetView>
  </sheetViews>
  <sheetFormatPr defaultColWidth="9.140625" defaultRowHeight="12.75"/>
  <cols>
    <col min="2" max="2" width="29.7109375" style="0" customWidth="1"/>
  </cols>
  <sheetData>
    <row r="1" spans="1:17" ht="15.75">
      <c r="A1" s="6" t="s">
        <v>73</v>
      </c>
      <c r="B1" s="58"/>
      <c r="C1" s="58"/>
      <c r="D1" s="58"/>
      <c r="E1" s="58"/>
      <c r="F1" s="58"/>
      <c r="G1" s="58"/>
      <c r="H1" s="58"/>
      <c r="I1" s="58"/>
      <c r="J1" s="58"/>
      <c r="L1" s="58"/>
      <c r="M1" s="58"/>
      <c r="N1" s="58"/>
      <c r="O1" s="58"/>
      <c r="P1" s="58"/>
      <c r="Q1" s="58"/>
    </row>
    <row r="2" ht="13.5" thickBot="1">
      <c r="I2" s="3"/>
    </row>
    <row r="3" spans="2:10" ht="12.75">
      <c r="B3" s="56"/>
      <c r="C3" s="170" t="s">
        <v>1</v>
      </c>
      <c r="D3" s="165"/>
      <c r="E3" s="165"/>
      <c r="F3" s="165"/>
      <c r="G3" s="165"/>
      <c r="H3" s="165"/>
      <c r="I3" s="41"/>
      <c r="J3" s="10"/>
    </row>
    <row r="4" spans="2:10" ht="12.75">
      <c r="B4" s="60" t="s">
        <v>52</v>
      </c>
      <c r="C4" s="57">
        <v>75</v>
      </c>
      <c r="D4" s="57">
        <v>150</v>
      </c>
      <c r="E4" s="57">
        <v>250</v>
      </c>
      <c r="F4" s="57">
        <v>500</v>
      </c>
      <c r="G4" s="57">
        <v>750</v>
      </c>
      <c r="H4" s="57">
        <v>950</v>
      </c>
      <c r="I4" s="64" t="s">
        <v>72</v>
      </c>
      <c r="J4" s="10"/>
    </row>
    <row r="5" spans="2:10" ht="12.75">
      <c r="B5" s="61" t="s">
        <v>71</v>
      </c>
      <c r="C5" s="65">
        <f>C4*B14</f>
        <v>1275</v>
      </c>
      <c r="D5" s="65">
        <f>D4*B14</f>
        <v>2550</v>
      </c>
      <c r="E5" s="65">
        <f>E4*B14</f>
        <v>4250</v>
      </c>
      <c r="F5" s="65">
        <f>F4*B14</f>
        <v>8500</v>
      </c>
      <c r="G5" s="65">
        <f>G4*B14</f>
        <v>12750</v>
      </c>
      <c r="H5" s="65">
        <f>H4*B14</f>
        <v>16150</v>
      </c>
      <c r="I5" s="64"/>
      <c r="J5" s="10"/>
    </row>
    <row r="6" spans="2:10" ht="12.75">
      <c r="B6" s="61" t="s">
        <v>76</v>
      </c>
      <c r="C6" s="19">
        <f>C4*B14*B17*B12</f>
        <v>24480</v>
      </c>
      <c r="D6" s="19">
        <f>D4*B14*B17*B12</f>
        <v>48960</v>
      </c>
      <c r="E6" s="19">
        <f>E4*B14*B17*B12</f>
        <v>81600</v>
      </c>
      <c r="F6" s="19">
        <f>F4*B14*B17*6</f>
        <v>163200</v>
      </c>
      <c r="G6" s="19">
        <f>G4*B14*B17*6</f>
        <v>244800</v>
      </c>
      <c r="H6" s="19">
        <f>H4*B14*B17*6</f>
        <v>310080</v>
      </c>
      <c r="I6" s="66">
        <f>H6/H4</f>
        <v>326.4</v>
      </c>
      <c r="J6" s="10"/>
    </row>
    <row r="7" spans="2:17" ht="13.5" thickBot="1">
      <c r="B7" s="62" t="s">
        <v>70</v>
      </c>
      <c r="C7" s="44">
        <f aca="true" t="shared" si="0" ref="C7:H7">C4*$B$14*($B$17+($E$22/$B$14))*$B$12</f>
        <v>26300.3007518797</v>
      </c>
      <c r="D7" s="44">
        <f t="shared" si="0"/>
        <v>52600.6015037594</v>
      </c>
      <c r="E7" s="44">
        <f t="shared" si="0"/>
        <v>87667.66917293234</v>
      </c>
      <c r="F7" s="44">
        <f t="shared" si="0"/>
        <v>175335.33834586467</v>
      </c>
      <c r="G7" s="44">
        <f t="shared" si="0"/>
        <v>263003.007518797</v>
      </c>
      <c r="H7" s="44">
        <f t="shared" si="0"/>
        <v>333137.14285714284</v>
      </c>
      <c r="I7" s="23">
        <f>H7/H4</f>
        <v>350.6706766917293</v>
      </c>
      <c r="J7" s="10"/>
      <c r="K7" s="67"/>
      <c r="L7" s="67"/>
      <c r="M7" s="67"/>
      <c r="N7" s="67"/>
      <c r="O7" s="67"/>
      <c r="P7" s="67"/>
      <c r="Q7" s="67"/>
    </row>
    <row r="8" spans="1:10" ht="13.5" thickBot="1">
      <c r="A8" s="11"/>
      <c r="B8" s="68" t="s">
        <v>74</v>
      </c>
      <c r="C8" s="79">
        <f aca="true" t="shared" si="1" ref="C8:I8">C7-C6</f>
        <v>1820.3007518796985</v>
      </c>
      <c r="D8" s="79">
        <f t="shared" si="1"/>
        <v>3640.601503759397</v>
      </c>
      <c r="E8" s="79">
        <f t="shared" si="1"/>
        <v>6067.669172932336</v>
      </c>
      <c r="F8" s="79">
        <f t="shared" si="1"/>
        <v>12135.338345864671</v>
      </c>
      <c r="G8" s="79">
        <f t="shared" si="1"/>
        <v>18203.007518797007</v>
      </c>
      <c r="H8" s="19">
        <f t="shared" si="1"/>
        <v>23057.14285714284</v>
      </c>
      <c r="I8" s="12">
        <f t="shared" si="1"/>
        <v>24.270676691729307</v>
      </c>
      <c r="J8" s="10"/>
    </row>
    <row r="9" spans="8:9" ht="12.75">
      <c r="H9" s="18"/>
      <c r="I9" s="18"/>
    </row>
    <row r="11" ht="12.75">
      <c r="B11" s="55" t="s">
        <v>69</v>
      </c>
    </row>
    <row r="12" spans="2:3" ht="12.75">
      <c r="B12">
        <v>6</v>
      </c>
      <c r="C12" t="s">
        <v>68</v>
      </c>
    </row>
    <row r="13" spans="2:3" ht="12.75">
      <c r="B13">
        <v>4.5</v>
      </c>
      <c r="C13" t="s">
        <v>67</v>
      </c>
    </row>
    <row r="14" spans="2:3" ht="12.75">
      <c r="B14">
        <v>17</v>
      </c>
      <c r="C14" t="s">
        <v>66</v>
      </c>
    </row>
    <row r="15" spans="2:9" ht="12.75">
      <c r="B15">
        <v>100</v>
      </c>
      <c r="C15" t="s">
        <v>65</v>
      </c>
      <c r="I15" s="3"/>
    </row>
    <row r="16" spans="2:9" ht="12.75">
      <c r="B16" s="37">
        <f>(B15+E22)/0.85</f>
        <v>122.40601503759399</v>
      </c>
      <c r="C16" t="s">
        <v>64</v>
      </c>
      <c r="I16" s="3"/>
    </row>
    <row r="17" spans="2:3" ht="12.75">
      <c r="B17">
        <v>3.2</v>
      </c>
      <c r="C17" t="s">
        <v>75</v>
      </c>
    </row>
    <row r="19" spans="2:6" ht="12.75">
      <c r="B19" t="s">
        <v>21</v>
      </c>
      <c r="C19" s="194" t="s">
        <v>63</v>
      </c>
      <c r="D19" s="194"/>
      <c r="E19" s="194" t="s">
        <v>62</v>
      </c>
      <c r="F19" s="194"/>
    </row>
    <row r="20" spans="2:6" ht="12.75">
      <c r="B20" t="s">
        <v>22</v>
      </c>
      <c r="C20">
        <v>10.76</v>
      </c>
      <c r="D20" t="s">
        <v>23</v>
      </c>
      <c r="E20" s="42">
        <f>C20/1.33</f>
        <v>8.090225563909774</v>
      </c>
      <c r="F20" t="s">
        <v>23</v>
      </c>
    </row>
    <row r="21" spans="2:6" ht="12.75">
      <c r="B21" t="s">
        <v>24</v>
      </c>
      <c r="C21">
        <v>5.38</v>
      </c>
      <c r="D21" t="s">
        <v>23</v>
      </c>
      <c r="E21" s="42">
        <f>C21/1.33</f>
        <v>4.045112781954887</v>
      </c>
      <c r="F21" t="s">
        <v>23</v>
      </c>
    </row>
    <row r="22" spans="2:6" ht="12.75">
      <c r="B22" t="s">
        <v>27</v>
      </c>
      <c r="C22">
        <v>5.38</v>
      </c>
      <c r="D22" t="s">
        <v>23</v>
      </c>
      <c r="E22" s="42">
        <f>C22/1.33</f>
        <v>4.045112781954887</v>
      </c>
      <c r="F22" t="s">
        <v>23</v>
      </c>
    </row>
  </sheetData>
  <mergeCells count="3">
    <mergeCell ref="C3:H3"/>
    <mergeCell ref="C19:D19"/>
    <mergeCell ref="E19:F19"/>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M100"/>
  <sheetViews>
    <sheetView tabSelected="1" workbookViewId="0" topLeftCell="A1">
      <selection activeCell="A1" sqref="A1"/>
    </sheetView>
  </sheetViews>
  <sheetFormatPr defaultColWidth="9.140625" defaultRowHeight="12.75"/>
  <cols>
    <col min="1" max="1" width="80.8515625" style="0" customWidth="1"/>
    <col min="2" max="2" width="10.7109375" style="88" customWidth="1"/>
    <col min="3" max="3" width="10.7109375" style="0" customWidth="1"/>
    <col min="4" max="8" width="11.421875" style="0" customWidth="1"/>
    <col min="11" max="11" width="24.8515625" style="0" customWidth="1"/>
  </cols>
  <sheetData>
    <row r="1" ht="12.75">
      <c r="A1" s="80" t="s">
        <v>84</v>
      </c>
    </row>
    <row r="2" ht="12.75">
      <c r="A2" s="80"/>
    </row>
    <row r="3" spans="1:8" ht="12.75">
      <c r="A3" s="80"/>
      <c r="B3" s="89"/>
      <c r="C3" s="81"/>
      <c r="D3" s="81"/>
      <c r="E3" s="81"/>
      <c r="F3" s="81"/>
      <c r="G3" s="81"/>
      <c r="H3" s="81"/>
    </row>
    <row r="4" spans="1:9" ht="12.75">
      <c r="A4" s="83"/>
      <c r="B4" s="195" t="s">
        <v>85</v>
      </c>
      <c r="C4" s="196"/>
      <c r="D4" s="196"/>
      <c r="E4" s="196"/>
      <c r="F4" s="196"/>
      <c r="G4" s="196"/>
      <c r="H4" s="131"/>
      <c r="I4" s="84"/>
    </row>
    <row r="5" spans="1:13" ht="12.75">
      <c r="A5" s="85"/>
      <c r="B5" s="119">
        <v>75</v>
      </c>
      <c r="C5" s="118">
        <v>150</v>
      </c>
      <c r="D5" s="118">
        <v>250</v>
      </c>
      <c r="E5" s="118">
        <v>500</v>
      </c>
      <c r="F5" s="118">
        <v>750</v>
      </c>
      <c r="G5" s="118">
        <v>950</v>
      </c>
      <c r="H5" s="140" t="s">
        <v>83</v>
      </c>
      <c r="K5" s="81" t="s">
        <v>94</v>
      </c>
      <c r="L5" s="82">
        <v>0.05</v>
      </c>
      <c r="M5" s="81"/>
    </row>
    <row r="6" spans="1:13" ht="12.75">
      <c r="A6" s="120" t="s">
        <v>88</v>
      </c>
      <c r="B6" s="51"/>
      <c r="C6" s="51"/>
      <c r="D6" s="51"/>
      <c r="E6" s="51"/>
      <c r="F6" s="51"/>
      <c r="G6" s="78"/>
      <c r="H6" s="133"/>
      <c r="K6" s="81" t="s">
        <v>97</v>
      </c>
      <c r="L6" s="81">
        <f>Gulve!C44</f>
        <v>4.04</v>
      </c>
      <c r="M6" s="81" t="s">
        <v>98</v>
      </c>
    </row>
    <row r="7" spans="1:12" ht="12.75">
      <c r="A7" s="120" t="s">
        <v>115</v>
      </c>
      <c r="B7" s="51">
        <f>Gulve!C6</f>
        <v>403040</v>
      </c>
      <c r="C7" s="51">
        <f>Gulve!D6</f>
        <v>790260</v>
      </c>
      <c r="D7" s="51">
        <f>Gulve!E6</f>
        <v>1056200</v>
      </c>
      <c r="E7" s="51">
        <f>Gulve!F6</f>
        <v>1492400</v>
      </c>
      <c r="F7" s="51">
        <f>Gulve!G6</f>
        <v>2626330</v>
      </c>
      <c r="G7" s="78">
        <f>Gulve!H6</f>
        <v>3187570</v>
      </c>
      <c r="H7" s="133"/>
      <c r="K7" s="81" t="s">
        <v>99</v>
      </c>
      <c r="L7">
        <v>1.33</v>
      </c>
    </row>
    <row r="8" spans="1:12" ht="12.75">
      <c r="A8" s="121" t="s">
        <v>89</v>
      </c>
      <c r="B8" s="51">
        <v>25</v>
      </c>
      <c r="C8" s="51">
        <v>25</v>
      </c>
      <c r="D8" s="51">
        <v>25</v>
      </c>
      <c r="E8" s="51">
        <v>25</v>
      </c>
      <c r="F8" s="51">
        <v>25</v>
      </c>
      <c r="G8" s="78">
        <v>25</v>
      </c>
      <c r="H8" s="133"/>
      <c r="K8" s="81" t="s">
        <v>106</v>
      </c>
      <c r="L8">
        <v>6</v>
      </c>
    </row>
    <row r="9" spans="1:11" ht="12.75">
      <c r="A9" s="122" t="s">
        <v>116</v>
      </c>
      <c r="B9" s="98">
        <f aca="true" t="shared" si="0" ref="B9:G9">-PMT($L$5,B8,B7)</f>
        <v>28596.678389881505</v>
      </c>
      <c r="C9" s="98">
        <f t="shared" si="0"/>
        <v>56070.8889052892</v>
      </c>
      <c r="D9" s="98">
        <f t="shared" si="0"/>
        <v>74939.98539944632</v>
      </c>
      <c r="E9" s="98">
        <f t="shared" si="0"/>
        <v>105889.44727337027</v>
      </c>
      <c r="F9" s="98">
        <f t="shared" si="0"/>
        <v>186344.5671786857</v>
      </c>
      <c r="G9" s="110">
        <f t="shared" si="0"/>
        <v>226165.92431330535</v>
      </c>
      <c r="H9" s="134"/>
      <c r="K9" s="81"/>
    </row>
    <row r="10" spans="1:11" ht="12.75">
      <c r="A10" s="121"/>
      <c r="B10" s="51"/>
      <c r="C10" s="51"/>
      <c r="D10" s="51"/>
      <c r="E10" s="51"/>
      <c r="F10" s="51"/>
      <c r="G10" s="78"/>
      <c r="H10" s="133"/>
      <c r="K10" s="81"/>
    </row>
    <row r="11" spans="1:11" ht="12.75">
      <c r="A11" s="120" t="s">
        <v>32</v>
      </c>
      <c r="B11" s="51">
        <f>Gulve!C7</f>
        <v>108000</v>
      </c>
      <c r="C11" s="51">
        <f>Gulve!D7</f>
        <v>234300</v>
      </c>
      <c r="D11" s="51">
        <f>Gulve!E7</f>
        <v>314400</v>
      </c>
      <c r="E11" s="51">
        <f>Gulve!F7</f>
        <v>469500</v>
      </c>
      <c r="F11" s="51">
        <f>Gulve!G7</f>
        <v>927900</v>
      </c>
      <c r="G11" s="78">
        <f>Gulve!H7</f>
        <v>1168500</v>
      </c>
      <c r="H11" s="133"/>
      <c r="K11" s="81"/>
    </row>
    <row r="12" spans="1:11" ht="12.75">
      <c r="A12" s="121" t="s">
        <v>89</v>
      </c>
      <c r="B12" s="51">
        <v>20</v>
      </c>
      <c r="C12" s="51">
        <v>20</v>
      </c>
      <c r="D12" s="51">
        <v>20</v>
      </c>
      <c r="E12" s="51">
        <v>20</v>
      </c>
      <c r="F12" s="51">
        <v>20</v>
      </c>
      <c r="G12" s="78">
        <v>20</v>
      </c>
      <c r="H12" s="133"/>
      <c r="K12" s="81"/>
    </row>
    <row r="13" spans="1:11" ht="12.75">
      <c r="A13" s="122" t="s">
        <v>117</v>
      </c>
      <c r="B13" s="98">
        <f aca="true" t="shared" si="1" ref="B13:G13">-PMT($L$5,B12,B11)</f>
        <v>8666.199416594663</v>
      </c>
      <c r="C13" s="98">
        <f t="shared" si="1"/>
        <v>18800.838178778977</v>
      </c>
      <c r="D13" s="98">
        <f t="shared" si="1"/>
        <v>25228.269412753354</v>
      </c>
      <c r="E13" s="98">
        <f t="shared" si="1"/>
        <v>37673.89468602958</v>
      </c>
      <c r="F13" s="98">
        <f t="shared" si="1"/>
        <v>74457.09665424247</v>
      </c>
      <c r="G13" s="110">
        <f t="shared" si="1"/>
        <v>93763.46313232281</v>
      </c>
      <c r="H13" s="134"/>
      <c r="K13" s="81"/>
    </row>
    <row r="14" spans="1:11" ht="12.75">
      <c r="A14" s="121"/>
      <c r="B14" s="51"/>
      <c r="C14" s="51"/>
      <c r="D14" s="51"/>
      <c r="E14" s="51"/>
      <c r="F14" s="51"/>
      <c r="G14" s="78"/>
      <c r="H14" s="133"/>
      <c r="K14" s="81"/>
    </row>
    <row r="15" spans="1:11" ht="12.75">
      <c r="A15" s="120" t="s">
        <v>19</v>
      </c>
      <c r="B15" s="51">
        <f>Gulve!C8</f>
        <v>92000</v>
      </c>
      <c r="C15" s="51">
        <f>Gulve!D8</f>
        <v>92000</v>
      </c>
      <c r="D15" s="51">
        <f>Gulve!E8</f>
        <v>92000</v>
      </c>
      <c r="E15" s="51">
        <f>Gulve!F8</f>
        <v>144000</v>
      </c>
      <c r="F15" s="51">
        <f>Gulve!G8</f>
        <v>196000</v>
      </c>
      <c r="G15" s="78">
        <f>Gulve!H8</f>
        <v>196000</v>
      </c>
      <c r="H15" s="133"/>
      <c r="K15" s="81"/>
    </row>
    <row r="16" spans="1:11" ht="12.75">
      <c r="A16" s="121" t="s">
        <v>89</v>
      </c>
      <c r="B16" s="51">
        <v>10</v>
      </c>
      <c r="C16" s="51">
        <v>10</v>
      </c>
      <c r="D16" s="51">
        <v>10</v>
      </c>
      <c r="E16" s="51">
        <v>10</v>
      </c>
      <c r="F16" s="51">
        <v>10</v>
      </c>
      <c r="G16" s="78">
        <v>10</v>
      </c>
      <c r="H16" s="133"/>
      <c r="K16" s="81"/>
    </row>
    <row r="17" spans="1:11" ht="12.75">
      <c r="A17" s="122" t="s">
        <v>108</v>
      </c>
      <c r="B17" s="98">
        <f aca="true" t="shared" si="2" ref="B17:G17">-PMT($L$5,B16,B15)</f>
        <v>11914.420896822015</v>
      </c>
      <c r="C17" s="98">
        <f t="shared" si="2"/>
        <v>11914.420896822015</v>
      </c>
      <c r="D17" s="98">
        <f t="shared" si="2"/>
        <v>11914.420896822015</v>
      </c>
      <c r="E17" s="98">
        <f t="shared" si="2"/>
        <v>18648.65879502576</v>
      </c>
      <c r="F17" s="98">
        <f t="shared" si="2"/>
        <v>25382.896693229508</v>
      </c>
      <c r="G17" s="110">
        <f t="shared" si="2"/>
        <v>25382.896693229508</v>
      </c>
      <c r="H17" s="134"/>
      <c r="K17" s="81"/>
    </row>
    <row r="18" spans="1:8" ht="12.75">
      <c r="A18" s="121"/>
      <c r="B18" s="51"/>
      <c r="C18" s="51"/>
      <c r="D18" s="51"/>
      <c r="E18" s="51"/>
      <c r="F18" s="51"/>
      <c r="G18" s="78"/>
      <c r="H18" s="133"/>
    </row>
    <row r="19" spans="1:8" ht="12.75">
      <c r="A19" s="35" t="s">
        <v>90</v>
      </c>
      <c r="B19" s="97">
        <f aca="true" t="shared" si="3" ref="B19:G19">SUM(B9+B13+B17)</f>
        <v>49177.29870329819</v>
      </c>
      <c r="C19" s="97">
        <f t="shared" si="3"/>
        <v>86786.1479808902</v>
      </c>
      <c r="D19" s="97">
        <f t="shared" si="3"/>
        <v>112082.6757090217</v>
      </c>
      <c r="E19" s="97">
        <f t="shared" si="3"/>
        <v>162212.0007544256</v>
      </c>
      <c r="F19" s="97">
        <f t="shared" si="3"/>
        <v>286184.5605261577</v>
      </c>
      <c r="G19" s="111">
        <f t="shared" si="3"/>
        <v>345312.2841388577</v>
      </c>
      <c r="H19" s="134"/>
    </row>
    <row r="20" spans="1:8" ht="12.75">
      <c r="A20" s="120"/>
      <c r="B20" s="51"/>
      <c r="C20" s="51"/>
      <c r="D20" s="51"/>
      <c r="E20" s="51"/>
      <c r="F20" s="51"/>
      <c r="G20" s="78"/>
      <c r="H20" s="133"/>
    </row>
    <row r="21" spans="1:8" ht="12.75">
      <c r="A21" s="120" t="s">
        <v>91</v>
      </c>
      <c r="B21" s="51"/>
      <c r="C21" s="51"/>
      <c r="D21" s="51"/>
      <c r="E21" s="51"/>
      <c r="F21" s="51"/>
      <c r="G21" s="78"/>
      <c r="H21" s="133"/>
    </row>
    <row r="22" spans="1:8" ht="12.75">
      <c r="A22" s="121" t="s">
        <v>92</v>
      </c>
      <c r="B22" s="51">
        <f>Gulve!C17</f>
        <v>359000</v>
      </c>
      <c r="C22" s="51">
        <f>Gulve!D17</f>
        <v>713500</v>
      </c>
      <c r="D22" s="51">
        <f>Gulve!E17</f>
        <v>1134000</v>
      </c>
      <c r="E22" s="51">
        <f>Gulve!F17</f>
        <v>1855000</v>
      </c>
      <c r="F22" s="51">
        <f>Gulve!G17</f>
        <v>2499500</v>
      </c>
      <c r="G22" s="78">
        <f>Gulve!H17</f>
        <v>3441500</v>
      </c>
      <c r="H22" s="133"/>
    </row>
    <row r="23" spans="1:8" ht="12.75">
      <c r="A23" s="121" t="s">
        <v>20</v>
      </c>
      <c r="B23" s="51">
        <f>Gulve!C21</f>
        <v>20000</v>
      </c>
      <c r="C23" s="51">
        <f>Gulve!D21</f>
        <v>39500</v>
      </c>
      <c r="D23" s="51">
        <f>Gulve!E21</f>
        <v>63000</v>
      </c>
      <c r="E23" s="51">
        <f>Gulve!F21</f>
        <v>105000</v>
      </c>
      <c r="F23" s="51">
        <f>Gulve!G21</f>
        <v>143000</v>
      </c>
      <c r="G23" s="78">
        <f>Gulve!H21</f>
        <v>151000</v>
      </c>
      <c r="H23" s="133"/>
    </row>
    <row r="24" spans="1:9" ht="12.75">
      <c r="A24" s="121" t="s">
        <v>95</v>
      </c>
      <c r="B24" s="51">
        <f aca="true" t="shared" si="4" ref="B24:G24">SUM(B22:B23)</f>
        <v>379000</v>
      </c>
      <c r="C24" s="51">
        <f t="shared" si="4"/>
        <v>753000</v>
      </c>
      <c r="D24" s="51">
        <f t="shared" si="4"/>
        <v>1197000</v>
      </c>
      <c r="E24" s="51">
        <f t="shared" si="4"/>
        <v>1960000</v>
      </c>
      <c r="F24" s="51">
        <f t="shared" si="4"/>
        <v>2642500</v>
      </c>
      <c r="G24" s="78">
        <f t="shared" si="4"/>
        <v>3592500</v>
      </c>
      <c r="H24" s="133"/>
      <c r="I24" s="3"/>
    </row>
    <row r="25" spans="1:9" ht="12.75">
      <c r="A25" s="121" t="s">
        <v>89</v>
      </c>
      <c r="B25" s="51">
        <v>25</v>
      </c>
      <c r="C25" s="51">
        <v>25</v>
      </c>
      <c r="D25" s="51">
        <v>25</v>
      </c>
      <c r="E25" s="51">
        <v>25</v>
      </c>
      <c r="F25" s="51">
        <v>25</v>
      </c>
      <c r="G25" s="78">
        <v>25</v>
      </c>
      <c r="H25" s="133"/>
      <c r="I25" s="3"/>
    </row>
    <row r="26" spans="1:9" ht="12.75">
      <c r="A26" s="120" t="s">
        <v>93</v>
      </c>
      <c r="B26" s="98">
        <f aca="true" t="shared" si="5" ref="B26:G26">-PMT($L$5,B25,B24)</f>
        <v>26890.981316408026</v>
      </c>
      <c r="C26" s="98">
        <f t="shared" si="5"/>
        <v>53427.2003463199</v>
      </c>
      <c r="D26" s="98">
        <f t="shared" si="5"/>
        <v>84930.09138717786</v>
      </c>
      <c r="E26" s="98">
        <f t="shared" si="5"/>
        <v>139066.81630649004</v>
      </c>
      <c r="F26" s="98">
        <f t="shared" si="5"/>
        <v>187491.86841321428</v>
      </c>
      <c r="G26" s="110">
        <f t="shared" si="5"/>
        <v>254896.7028474824</v>
      </c>
      <c r="H26" s="134"/>
      <c r="I26" s="3"/>
    </row>
    <row r="27" spans="1:9" ht="12.75">
      <c r="A27" s="120"/>
      <c r="B27" s="98"/>
      <c r="C27" s="98"/>
      <c r="D27" s="98"/>
      <c r="E27" s="98"/>
      <c r="F27" s="98"/>
      <c r="G27" s="110"/>
      <c r="H27" s="134"/>
      <c r="I27" s="3"/>
    </row>
    <row r="28" spans="1:9" ht="12.75">
      <c r="A28" s="120" t="s">
        <v>107</v>
      </c>
      <c r="B28" s="102">
        <f>Gulve!C20</f>
        <v>164000</v>
      </c>
      <c r="C28" s="102">
        <f>Gulve!D20</f>
        <v>284800</v>
      </c>
      <c r="D28" s="102">
        <f>Gulve!E20</f>
        <v>297500</v>
      </c>
      <c r="E28" s="102">
        <f>Gulve!F20</f>
        <v>425000</v>
      </c>
      <c r="F28" s="102">
        <f>Gulve!G20</f>
        <v>777000</v>
      </c>
      <c r="G28" s="112">
        <f>Gulve!H20</f>
        <v>811000</v>
      </c>
      <c r="H28" s="135"/>
      <c r="I28" s="3"/>
    </row>
    <row r="29" spans="1:9" ht="12.75">
      <c r="A29" s="121" t="s">
        <v>89</v>
      </c>
      <c r="B29" s="102">
        <v>10</v>
      </c>
      <c r="C29" s="102">
        <v>10</v>
      </c>
      <c r="D29" s="102">
        <v>10</v>
      </c>
      <c r="E29" s="102">
        <v>10</v>
      </c>
      <c r="F29" s="102">
        <v>10</v>
      </c>
      <c r="G29" s="112">
        <v>10</v>
      </c>
      <c r="H29" s="135"/>
      <c r="I29" s="3"/>
    </row>
    <row r="30" spans="1:9" ht="12.75">
      <c r="A30" s="120" t="s">
        <v>108</v>
      </c>
      <c r="B30" s="98">
        <f aca="true" t="shared" si="6" ref="B30:G30">-PMT($L$5,B29,B28)</f>
        <v>21238.7502943349</v>
      </c>
      <c r="C30" s="98">
        <f t="shared" si="6"/>
        <v>36882.90295016206</v>
      </c>
      <c r="D30" s="98">
        <f t="shared" si="6"/>
        <v>38527.611052223365</v>
      </c>
      <c r="E30" s="98">
        <f t="shared" si="6"/>
        <v>55039.444360319096</v>
      </c>
      <c r="F30" s="98">
        <f t="shared" si="6"/>
        <v>100625.05474815983</v>
      </c>
      <c r="G30" s="110">
        <f t="shared" si="6"/>
        <v>105028.21029698537</v>
      </c>
      <c r="H30" s="134"/>
      <c r="I30" s="3"/>
    </row>
    <row r="31" spans="1:9" ht="12.75">
      <c r="A31" s="120"/>
      <c r="B31" s="51"/>
      <c r="C31" s="51"/>
      <c r="D31" s="51"/>
      <c r="E31" s="51"/>
      <c r="F31" s="51"/>
      <c r="G31" s="78"/>
      <c r="H31" s="133"/>
      <c r="I31" s="3"/>
    </row>
    <row r="32" spans="1:9" ht="12.75">
      <c r="A32" s="120" t="s">
        <v>39</v>
      </c>
      <c r="B32" s="51">
        <f>Gulve!C24</f>
        <v>9855.5</v>
      </c>
      <c r="C32" s="51">
        <f>Gulve!D24</f>
        <v>19841</v>
      </c>
      <c r="D32" s="51">
        <f>Gulve!E24</f>
        <v>29228</v>
      </c>
      <c r="E32" s="51">
        <f>Gulve!F24</f>
        <v>51530</v>
      </c>
      <c r="F32" s="51">
        <f>Gulve!G24</f>
        <v>86117</v>
      </c>
      <c r="G32" s="51">
        <f>Gulve!H24</f>
        <v>105300.5</v>
      </c>
      <c r="H32" s="133"/>
      <c r="I32" s="3"/>
    </row>
    <row r="33" spans="1:9" ht="12.75">
      <c r="A33" s="121" t="s">
        <v>89</v>
      </c>
      <c r="B33" s="51">
        <v>7</v>
      </c>
      <c r="C33" s="51">
        <v>7</v>
      </c>
      <c r="D33" s="51">
        <v>7</v>
      </c>
      <c r="E33" s="51">
        <v>7</v>
      </c>
      <c r="F33" s="51">
        <v>7</v>
      </c>
      <c r="G33" s="78">
        <v>7</v>
      </c>
      <c r="H33" s="133"/>
      <c r="I33" s="3"/>
    </row>
    <row r="34" spans="1:9" ht="12.75">
      <c r="A34" s="120" t="s">
        <v>109</v>
      </c>
      <c r="B34" s="98">
        <f aca="true" t="shared" si="7" ref="B34:G34">-PMT($L$5,B33,B32)</f>
        <v>1703.2257206962352</v>
      </c>
      <c r="C34" s="98">
        <f t="shared" si="7"/>
        <v>3428.9180177904723</v>
      </c>
      <c r="D34" s="98">
        <f t="shared" si="7"/>
        <v>5051.177653544676</v>
      </c>
      <c r="E34" s="98">
        <f t="shared" si="7"/>
        <v>8905.405244531175</v>
      </c>
      <c r="F34" s="98">
        <f t="shared" si="7"/>
        <v>14882.724305128879</v>
      </c>
      <c r="G34" s="110">
        <f t="shared" si="7"/>
        <v>18198.013292290994</v>
      </c>
      <c r="H34" s="134"/>
      <c r="I34" s="3"/>
    </row>
    <row r="35" spans="1:9" ht="12.75">
      <c r="A35" s="120"/>
      <c r="B35" s="98"/>
      <c r="C35" s="98"/>
      <c r="D35" s="98"/>
      <c r="E35" s="98"/>
      <c r="F35" s="98"/>
      <c r="G35" s="110"/>
      <c r="H35" s="134"/>
      <c r="I35" s="3"/>
    </row>
    <row r="36" spans="1:9" ht="12.75">
      <c r="A36" s="122" t="s">
        <v>103</v>
      </c>
      <c r="B36" s="51"/>
      <c r="C36" s="51"/>
      <c r="D36" s="51"/>
      <c r="E36" s="51"/>
      <c r="F36" s="51"/>
      <c r="G36" s="78"/>
      <c r="H36" s="133"/>
      <c r="I36" s="3"/>
    </row>
    <row r="37" spans="1:9" ht="12.75">
      <c r="A37" s="123" t="s">
        <v>104</v>
      </c>
      <c r="B37" s="98">
        <f>'Drift og vedlighold'!C5</f>
        <v>924.812030075188</v>
      </c>
      <c r="C37" s="98">
        <f>'Drift og vedlighold'!D5</f>
        <v>1849.624060150376</v>
      </c>
      <c r="D37" s="98">
        <f>'Drift og vedlighold'!E5</f>
        <v>3082.706766917293</v>
      </c>
      <c r="E37" s="98">
        <f>'Drift og vedlighold'!F5</f>
        <v>6165.413533834586</v>
      </c>
      <c r="F37" s="98">
        <f>'Drift og vedlighold'!G5</f>
        <v>9248.12030075188</v>
      </c>
      <c r="G37" s="110">
        <f>'Drift og vedlighold'!H5</f>
        <v>11714.285714285714</v>
      </c>
      <c r="H37" s="134"/>
      <c r="I37" s="3"/>
    </row>
    <row r="38" spans="1:9" ht="12.75">
      <c r="A38" s="120"/>
      <c r="B38" s="51"/>
      <c r="C38" s="51"/>
      <c r="D38" s="51"/>
      <c r="E38" s="51"/>
      <c r="F38" s="51"/>
      <c r="G38" s="78"/>
      <c r="H38" s="133"/>
      <c r="I38" s="3"/>
    </row>
    <row r="39" spans="1:10" ht="12.75">
      <c r="A39" s="35" t="s">
        <v>122</v>
      </c>
      <c r="B39" s="97">
        <f aca="true" t="shared" si="8" ref="B39:G39">(B26+B30+B34+B37)-B19</f>
        <v>1580.4706582161598</v>
      </c>
      <c r="C39" s="97">
        <f t="shared" si="8"/>
        <v>8802.497393532627</v>
      </c>
      <c r="D39" s="97">
        <f t="shared" si="8"/>
        <v>19508.911150841494</v>
      </c>
      <c r="E39" s="97">
        <f t="shared" si="8"/>
        <v>46965.0786907493</v>
      </c>
      <c r="F39" s="97">
        <f t="shared" si="8"/>
        <v>26063.207241097174</v>
      </c>
      <c r="G39" s="111">
        <f t="shared" si="8"/>
        <v>44524.92801218678</v>
      </c>
      <c r="H39" s="134"/>
      <c r="J39" s="96" t="s">
        <v>121</v>
      </c>
    </row>
    <row r="40" spans="1:9" ht="12.75">
      <c r="A40" s="1"/>
      <c r="B40" s="51"/>
      <c r="C40" s="51"/>
      <c r="D40" s="51"/>
      <c r="E40" s="51"/>
      <c r="F40" s="51"/>
      <c r="G40" s="78"/>
      <c r="H40" s="133"/>
      <c r="I40" s="3"/>
    </row>
    <row r="41" spans="1:9" ht="12.75">
      <c r="A41" s="120" t="s">
        <v>96</v>
      </c>
      <c r="B41" s="51">
        <f aca="true" t="shared" si="9" ref="B41:G41">$L$6*B5</f>
        <v>303</v>
      </c>
      <c r="C41" s="51">
        <f t="shared" si="9"/>
        <v>606</v>
      </c>
      <c r="D41" s="51">
        <f t="shared" si="9"/>
        <v>1010</v>
      </c>
      <c r="E41" s="51">
        <f t="shared" si="9"/>
        <v>2020</v>
      </c>
      <c r="F41" s="51">
        <f t="shared" si="9"/>
        <v>3030</v>
      </c>
      <c r="G41" s="78">
        <f t="shared" si="9"/>
        <v>3838</v>
      </c>
      <c r="H41" s="133"/>
      <c r="I41" s="3"/>
    </row>
    <row r="42" spans="1:9" ht="12.75">
      <c r="A42" s="1"/>
      <c r="B42" s="51"/>
      <c r="C42" s="51"/>
      <c r="D42" s="51"/>
      <c r="E42" s="51"/>
      <c r="F42" s="51"/>
      <c r="G42" s="78"/>
      <c r="H42" s="133"/>
      <c r="I42" s="3"/>
    </row>
    <row r="43" spans="1:9" ht="12.75">
      <c r="A43" s="124" t="s">
        <v>110</v>
      </c>
      <c r="B43" s="99">
        <f aca="true" t="shared" si="10" ref="B43:G43">B39/B$5</f>
        <v>21.072942109548798</v>
      </c>
      <c r="C43" s="99">
        <f t="shared" si="10"/>
        <v>58.68331595688418</v>
      </c>
      <c r="D43" s="99">
        <f t="shared" si="10"/>
        <v>78.03564460336598</v>
      </c>
      <c r="E43" s="99">
        <f t="shared" si="10"/>
        <v>93.9301573814986</v>
      </c>
      <c r="F43" s="99">
        <f t="shared" si="10"/>
        <v>34.750942988129566</v>
      </c>
      <c r="G43" s="113">
        <f t="shared" si="10"/>
        <v>46.86834527598608</v>
      </c>
      <c r="H43" s="136"/>
      <c r="I43" s="96"/>
    </row>
    <row r="44" spans="1:9" ht="12.75">
      <c r="A44" s="124" t="s">
        <v>86</v>
      </c>
      <c r="B44" s="99">
        <f aca="true" t="shared" si="11" ref="B44:G44">B39/B41</f>
        <v>5.2160747795912865</v>
      </c>
      <c r="C44" s="99">
        <f t="shared" si="11"/>
        <v>14.5255732566545</v>
      </c>
      <c r="D44" s="99">
        <f t="shared" si="11"/>
        <v>19.315753614694547</v>
      </c>
      <c r="E44" s="99">
        <f t="shared" si="11"/>
        <v>23.250038955816485</v>
      </c>
      <c r="F44" s="99">
        <f t="shared" si="11"/>
        <v>8.60171856141821</v>
      </c>
      <c r="G44" s="113">
        <f t="shared" si="11"/>
        <v>11.601075563362892</v>
      </c>
      <c r="H44" s="136"/>
      <c r="I44" s="96"/>
    </row>
    <row r="45" spans="1:9" ht="12.75">
      <c r="A45" s="125"/>
      <c r="B45" s="100"/>
      <c r="C45" s="100"/>
      <c r="D45" s="100"/>
      <c r="E45" s="100"/>
      <c r="F45" s="100"/>
      <c r="G45" s="114"/>
      <c r="H45" s="137"/>
      <c r="I45" s="81"/>
    </row>
    <row r="46" spans="1:10" ht="12.75">
      <c r="A46" s="126" t="s">
        <v>87</v>
      </c>
      <c r="B46" s="101">
        <f aca="true" t="shared" si="12" ref="B46:G46">B41*$L$8</f>
        <v>1818</v>
      </c>
      <c r="C46" s="101">
        <f t="shared" si="12"/>
        <v>3636</v>
      </c>
      <c r="D46" s="101">
        <f t="shared" si="12"/>
        <v>6060</v>
      </c>
      <c r="E46" s="101">
        <f t="shared" si="12"/>
        <v>12120</v>
      </c>
      <c r="F46" s="101">
        <f t="shared" si="12"/>
        <v>18180</v>
      </c>
      <c r="G46" s="115">
        <f t="shared" si="12"/>
        <v>23028</v>
      </c>
      <c r="H46" s="137"/>
      <c r="J46" s="96" t="s">
        <v>121</v>
      </c>
    </row>
    <row r="47" spans="1:12" ht="12.75">
      <c r="A47" s="127" t="s">
        <v>100</v>
      </c>
      <c r="B47" s="101">
        <f aca="true" t="shared" si="13" ref="B47:G47">B39-B46</f>
        <v>-237.5293417838402</v>
      </c>
      <c r="C47" s="101">
        <f t="shared" si="13"/>
        <v>5166.497393532627</v>
      </c>
      <c r="D47" s="101">
        <f t="shared" si="13"/>
        <v>13448.911150841494</v>
      </c>
      <c r="E47" s="101">
        <f t="shared" si="13"/>
        <v>34845.0786907493</v>
      </c>
      <c r="F47" s="101">
        <f t="shared" si="13"/>
        <v>7883.207241097174</v>
      </c>
      <c r="G47" s="115">
        <f t="shared" si="13"/>
        <v>21496.928012186778</v>
      </c>
      <c r="H47" s="137"/>
      <c r="I47" s="81"/>
      <c r="L47" s="96"/>
    </row>
    <row r="48" spans="1:10" ht="12.75">
      <c r="A48" s="128" t="s">
        <v>111</v>
      </c>
      <c r="B48" s="101">
        <f aca="true" t="shared" si="14" ref="B48:G48">B47/B5</f>
        <v>-3.167057890451203</v>
      </c>
      <c r="C48" s="101">
        <f t="shared" si="14"/>
        <v>34.44331595688418</v>
      </c>
      <c r="D48" s="101">
        <f t="shared" si="14"/>
        <v>53.79564460336597</v>
      </c>
      <c r="E48" s="101">
        <f t="shared" si="14"/>
        <v>69.69015738149861</v>
      </c>
      <c r="F48" s="101">
        <f t="shared" si="14"/>
        <v>10.510942988129566</v>
      </c>
      <c r="G48" s="115">
        <f t="shared" si="14"/>
        <v>22.62834527598608</v>
      </c>
      <c r="H48" s="138">
        <f>AVERAGE(B48:G48)</f>
        <v>31.3168913859022</v>
      </c>
      <c r="J48" s="96" t="s">
        <v>121</v>
      </c>
    </row>
    <row r="49" spans="1:10" ht="12.75">
      <c r="A49" s="128" t="s">
        <v>101</v>
      </c>
      <c r="B49" s="101">
        <f aca="true" t="shared" si="15" ref="B49:G49">B47/B41</f>
        <v>-0.7839252204087136</v>
      </c>
      <c r="C49" s="101">
        <f t="shared" si="15"/>
        <v>8.5255732566545</v>
      </c>
      <c r="D49" s="101">
        <f t="shared" si="15"/>
        <v>13.315753614694549</v>
      </c>
      <c r="E49" s="101">
        <f t="shared" si="15"/>
        <v>17.250038955816485</v>
      </c>
      <c r="F49" s="101">
        <f t="shared" si="15"/>
        <v>2.6017185614182092</v>
      </c>
      <c r="G49" s="115">
        <f t="shared" si="15"/>
        <v>5.601075563362891</v>
      </c>
      <c r="H49" s="138">
        <f>AVERAGE(B49:G49)</f>
        <v>7.751705788589653</v>
      </c>
      <c r="J49" s="96" t="s">
        <v>121</v>
      </c>
    </row>
    <row r="50" spans="1:9" ht="12.75">
      <c r="A50" s="120"/>
      <c r="B50" s="102"/>
      <c r="C50" s="102"/>
      <c r="D50" s="102"/>
      <c r="E50" s="102"/>
      <c r="F50" s="102"/>
      <c r="G50" s="112"/>
      <c r="H50" s="135"/>
      <c r="I50" s="86"/>
    </row>
    <row r="51" spans="1:9" ht="12.75">
      <c r="A51" s="120" t="s">
        <v>112</v>
      </c>
      <c r="B51" s="102"/>
      <c r="C51" s="102"/>
      <c r="D51" s="102"/>
      <c r="E51" s="102"/>
      <c r="F51" s="102"/>
      <c r="G51" s="112"/>
      <c r="H51" s="135"/>
      <c r="I51" s="86"/>
    </row>
    <row r="52" spans="1:9" ht="12.75">
      <c r="A52" s="1" t="s">
        <v>102</v>
      </c>
      <c r="B52" s="102">
        <f>Overbrusning!$D$5*'Årlige omkostninger'!B5</f>
        <v>29439.473684210523</v>
      </c>
      <c r="C52" s="102">
        <f>Overbrusning!$D$5*'Årlige omkostninger'!C5</f>
        <v>58878.947368421046</v>
      </c>
      <c r="D52" s="102">
        <f>Overbrusning!$D$5*'Årlige omkostninger'!D5</f>
        <v>98131.57894736841</v>
      </c>
      <c r="E52" s="102">
        <f>Overbrusning!$D$5*'Årlige omkostninger'!E5</f>
        <v>196263.15789473683</v>
      </c>
      <c r="F52" s="102">
        <f>Overbrusning!$D$5*'Årlige omkostninger'!F5</f>
        <v>294394.7368421052</v>
      </c>
      <c r="G52" s="112">
        <f>Overbrusning!$D$5*'Årlige omkostninger'!G5</f>
        <v>372899.99999999994</v>
      </c>
      <c r="H52" s="135"/>
      <c r="I52" s="19"/>
    </row>
    <row r="53" spans="1:9" ht="12.75">
      <c r="A53" s="1" t="s">
        <v>89</v>
      </c>
      <c r="B53" s="51">
        <v>20</v>
      </c>
      <c r="C53" s="51">
        <v>20</v>
      </c>
      <c r="D53" s="51">
        <v>20</v>
      </c>
      <c r="E53" s="51">
        <v>20</v>
      </c>
      <c r="F53" s="51">
        <v>20</v>
      </c>
      <c r="G53" s="78">
        <v>20</v>
      </c>
      <c r="H53" s="133"/>
      <c r="I53" s="81"/>
    </row>
    <row r="54" spans="1:8" ht="12.75">
      <c r="A54" s="120" t="s">
        <v>90</v>
      </c>
      <c r="B54" s="98">
        <f aca="true" t="shared" si="16" ref="B54:G54">-PMT($L$5,B53,B52)</f>
        <v>2362.299533953326</v>
      </c>
      <c r="C54" s="98">
        <f t="shared" si="16"/>
        <v>4724.599067906652</v>
      </c>
      <c r="D54" s="98">
        <f t="shared" si="16"/>
        <v>7874.331779844419</v>
      </c>
      <c r="E54" s="98">
        <f t="shared" si="16"/>
        <v>15748.663559688837</v>
      </c>
      <c r="F54" s="98">
        <f t="shared" si="16"/>
        <v>23622.995339533256</v>
      </c>
      <c r="G54" s="98">
        <f t="shared" si="16"/>
        <v>29922.46076340879</v>
      </c>
      <c r="H54" s="134"/>
    </row>
    <row r="55" spans="1:8" ht="12.75">
      <c r="A55" s="1"/>
      <c r="B55" s="51"/>
      <c r="C55" s="51"/>
      <c r="D55" s="51"/>
      <c r="E55" s="51"/>
      <c r="F55" s="51"/>
      <c r="G55" s="78"/>
      <c r="H55" s="133"/>
    </row>
    <row r="56" spans="1:8" ht="12.75">
      <c r="A56" s="122" t="s">
        <v>103</v>
      </c>
      <c r="B56" s="51"/>
      <c r="C56" s="51"/>
      <c r="D56" s="51"/>
      <c r="E56" s="51"/>
      <c r="F56" s="51"/>
      <c r="G56" s="78"/>
      <c r="H56" s="133"/>
    </row>
    <row r="57" spans="1:8" ht="12.75">
      <c r="A57" s="121" t="s">
        <v>105</v>
      </c>
      <c r="B57" s="98">
        <f>'Drift og vedlighold'!C6</f>
        <v>659.7744360902255</v>
      </c>
      <c r="C57" s="98">
        <f>'Drift og vedlighold'!D6</f>
        <v>1319.548872180451</v>
      </c>
      <c r="D57" s="98">
        <f>'Drift og vedlighold'!E6</f>
        <v>2199.248120300752</v>
      </c>
      <c r="E57" s="98">
        <f>'Drift og vedlighold'!F6</f>
        <v>4398.496240601504</v>
      </c>
      <c r="F57" s="98">
        <f>'Drift og vedlighold'!G6</f>
        <v>6597.744360902256</v>
      </c>
      <c r="G57" s="110">
        <f>'Drift og vedlighold'!H6</f>
        <v>8357.142857142857</v>
      </c>
      <c r="H57" s="134"/>
    </row>
    <row r="58" spans="1:8" ht="12.75">
      <c r="A58" s="122"/>
      <c r="B58" s="51"/>
      <c r="C58" s="51"/>
      <c r="D58" s="51"/>
      <c r="E58" s="51"/>
      <c r="F58" s="51"/>
      <c r="G58" s="78"/>
      <c r="H58" s="133"/>
    </row>
    <row r="59" spans="1:8" ht="12.75">
      <c r="A59" s="122" t="s">
        <v>120</v>
      </c>
      <c r="B59" s="98">
        <f aca="true" t="shared" si="17" ref="B59:G59">SUM(B57+B54)</f>
        <v>3022.0739700435515</v>
      </c>
      <c r="C59" s="98">
        <f t="shared" si="17"/>
        <v>6044.147940087103</v>
      </c>
      <c r="D59" s="98">
        <f t="shared" si="17"/>
        <v>10073.57990014517</v>
      </c>
      <c r="E59" s="98">
        <f t="shared" si="17"/>
        <v>20147.15980029034</v>
      </c>
      <c r="F59" s="98">
        <f t="shared" si="17"/>
        <v>30220.73970043551</v>
      </c>
      <c r="G59" s="110">
        <f t="shared" si="17"/>
        <v>38279.60362055165</v>
      </c>
      <c r="H59" s="134"/>
    </row>
    <row r="60" spans="1:8" ht="12.75">
      <c r="A60" s="120"/>
      <c r="B60" s="51"/>
      <c r="C60" s="51"/>
      <c r="D60" s="51"/>
      <c r="E60" s="51"/>
      <c r="F60" s="51"/>
      <c r="G60" s="78"/>
      <c r="H60" s="133"/>
    </row>
    <row r="61" spans="1:10" ht="12.75">
      <c r="A61" s="125" t="s">
        <v>124</v>
      </c>
      <c r="B61" s="100">
        <f aca="true" t="shared" si="18" ref="B61:G61">B59/B5</f>
        <v>40.294319600580685</v>
      </c>
      <c r="C61" s="100">
        <f t="shared" si="18"/>
        <v>40.294319600580685</v>
      </c>
      <c r="D61" s="100">
        <f t="shared" si="18"/>
        <v>40.294319600580685</v>
      </c>
      <c r="E61" s="100">
        <f t="shared" si="18"/>
        <v>40.294319600580685</v>
      </c>
      <c r="F61" s="100">
        <f t="shared" si="18"/>
        <v>40.294319600580685</v>
      </c>
      <c r="G61" s="114">
        <f t="shared" si="18"/>
        <v>40.294319600580685</v>
      </c>
      <c r="H61" s="137"/>
      <c r="I61" s="96"/>
      <c r="J61" t="s">
        <v>126</v>
      </c>
    </row>
    <row r="62" spans="1:9" s="81" customFormat="1" ht="12.75">
      <c r="A62" s="129"/>
      <c r="B62" s="104"/>
      <c r="C62" s="104"/>
      <c r="D62" s="104"/>
      <c r="E62" s="104"/>
      <c r="F62" s="104"/>
      <c r="G62" s="116"/>
      <c r="H62" s="136"/>
      <c r="I62" s="105"/>
    </row>
    <row r="63" spans="1:8" ht="12.75">
      <c r="A63" s="1" t="s">
        <v>119</v>
      </c>
      <c r="B63" s="19">
        <f aca="true" t="shared" si="19" ref="B63:G63">B47+B59</f>
        <v>2784.5446282597113</v>
      </c>
      <c r="C63" s="19">
        <f t="shared" si="19"/>
        <v>11210.64533361973</v>
      </c>
      <c r="D63" s="19">
        <f t="shared" si="19"/>
        <v>23522.491050986664</v>
      </c>
      <c r="E63" s="19">
        <f t="shared" si="19"/>
        <v>54992.23849103964</v>
      </c>
      <c r="F63" s="19">
        <f t="shared" si="19"/>
        <v>38103.94694153269</v>
      </c>
      <c r="G63" s="19">
        <f t="shared" si="19"/>
        <v>59776.53163273843</v>
      </c>
      <c r="H63" s="139"/>
    </row>
    <row r="64" spans="1:8" ht="12.75">
      <c r="A64" s="130" t="s">
        <v>118</v>
      </c>
      <c r="B64" s="103">
        <f aca="true" t="shared" si="20" ref="B64:G64">B63/B5</f>
        <v>37.12726171012948</v>
      </c>
      <c r="C64" s="103">
        <f t="shared" si="20"/>
        <v>74.73763555746487</v>
      </c>
      <c r="D64" s="103">
        <f t="shared" si="20"/>
        <v>94.08996420394665</v>
      </c>
      <c r="E64" s="103">
        <f t="shared" si="20"/>
        <v>109.98447698207929</v>
      </c>
      <c r="F64" s="103">
        <f t="shared" si="20"/>
        <v>50.80526258871025</v>
      </c>
      <c r="G64" s="117">
        <f t="shared" si="20"/>
        <v>62.92266487656676</v>
      </c>
      <c r="H64" s="138">
        <f>AVERAGE(B64:G64)</f>
        <v>71.61121098648289</v>
      </c>
    </row>
    <row r="65" spans="1:8" ht="12.75">
      <c r="A65" s="130" t="s">
        <v>125</v>
      </c>
      <c r="B65" s="103">
        <f aca="true" t="shared" si="21" ref="B65:G65">B63/B41</f>
        <v>9.189916264883536</v>
      </c>
      <c r="C65" s="103">
        <f t="shared" si="21"/>
        <v>18.49941474194675</v>
      </c>
      <c r="D65" s="103">
        <f t="shared" si="21"/>
        <v>23.289595099986798</v>
      </c>
      <c r="E65" s="103">
        <f t="shared" si="21"/>
        <v>27.223880441108733</v>
      </c>
      <c r="F65" s="103">
        <f t="shared" si="21"/>
        <v>12.575560046710459</v>
      </c>
      <c r="G65" s="117">
        <f t="shared" si="21"/>
        <v>15.57491704865514</v>
      </c>
      <c r="H65" s="138">
        <f>AVERAGE(B65:G65)</f>
        <v>17.725547273881904</v>
      </c>
    </row>
    <row r="92" spans="1:8" ht="12.75">
      <c r="A92" s="108"/>
      <c r="B92" s="197"/>
      <c r="C92" s="197"/>
      <c r="D92" s="197"/>
      <c r="E92" s="197"/>
      <c r="F92" s="197"/>
      <c r="G92" s="197"/>
      <c r="H92" s="132"/>
    </row>
    <row r="93" spans="1:8" ht="12.75">
      <c r="A93" s="87"/>
      <c r="B93" s="109"/>
      <c r="C93" s="109"/>
      <c r="D93" s="109"/>
      <c r="E93" s="109"/>
      <c r="F93" s="109"/>
      <c r="G93" s="109"/>
      <c r="H93" s="109"/>
    </row>
    <row r="94" spans="1:8" ht="12.75">
      <c r="A94" s="108"/>
      <c r="B94" s="106"/>
      <c r="C94" s="106"/>
      <c r="D94" s="106"/>
      <c r="E94" s="106"/>
      <c r="F94" s="106"/>
      <c r="G94" s="106"/>
      <c r="H94" s="106"/>
    </row>
    <row r="95" spans="1:8" ht="12.75">
      <c r="A95" s="108"/>
      <c r="B95" s="106"/>
      <c r="C95" s="106"/>
      <c r="D95" s="106"/>
      <c r="E95" s="106"/>
      <c r="F95" s="106"/>
      <c r="G95" s="106"/>
      <c r="H95" s="106"/>
    </row>
    <row r="96" spans="1:8" ht="12.75">
      <c r="A96" s="108"/>
      <c r="B96" s="107"/>
      <c r="C96" s="107"/>
      <c r="D96" s="107"/>
      <c r="E96" s="107"/>
      <c r="F96" s="107"/>
      <c r="G96" s="107"/>
      <c r="H96" s="107"/>
    </row>
    <row r="97" spans="1:8" ht="12.75">
      <c r="A97" s="108"/>
      <c r="B97" s="107"/>
      <c r="C97" s="107"/>
      <c r="D97" s="107"/>
      <c r="E97" s="107"/>
      <c r="F97" s="107"/>
      <c r="G97" s="107"/>
      <c r="H97" s="107"/>
    </row>
    <row r="98" spans="1:8" ht="12.75">
      <c r="A98" s="108"/>
      <c r="B98" s="107"/>
      <c r="C98" s="107"/>
      <c r="D98" s="107"/>
      <c r="E98" s="107"/>
      <c r="F98" s="107"/>
      <c r="G98" s="107"/>
      <c r="H98" s="107"/>
    </row>
    <row r="99" spans="1:8" ht="12.75">
      <c r="A99" s="108"/>
      <c r="B99" s="107"/>
      <c r="C99" s="107"/>
      <c r="D99" s="107"/>
      <c r="E99" s="107"/>
      <c r="F99" s="107"/>
      <c r="G99" s="107"/>
      <c r="H99" s="107"/>
    </row>
    <row r="100" spans="1:8" ht="12.75">
      <c r="A100" s="3"/>
      <c r="B100" s="19"/>
      <c r="C100" s="3"/>
      <c r="D100" s="3"/>
      <c r="E100" s="3"/>
      <c r="F100" s="3"/>
      <c r="G100" s="3"/>
      <c r="H100" s="3"/>
    </row>
  </sheetData>
  <sheetProtection selectLockedCells="1" selectUnlockedCells="1"/>
  <mergeCells count="2">
    <mergeCell ref="B4:G4"/>
    <mergeCell ref="B92:G92"/>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ITGaarden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c:creator>
  <cp:keywords/>
  <dc:description/>
  <cp:lastModifiedBy>Peter Hahn</cp:lastModifiedBy>
  <dcterms:created xsi:type="dcterms:W3CDTF">2009-07-28T11:39:07Z</dcterms:created>
  <dcterms:modified xsi:type="dcterms:W3CDTF">2010-07-08T13:55:12Z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298422193</vt:i4>
  </property>
  <property fmtid="{D5CDD505-2E9C-101B-9397-08002B2CF9AE}" pid="3" name="_NewReviewCycle">
    <vt:lpwstr/>
  </property>
  <property fmtid="{D5CDD505-2E9C-101B-9397-08002B2CF9AE}" pid="4" name="_EmailSubject">
    <vt:lpwstr>Hjælp til upload af dokumenter</vt:lpwstr>
  </property>
  <property fmtid="{D5CDD505-2E9C-101B-9397-08002B2CF9AE}" pid="5" name="_AuthorEmail">
    <vt:lpwstr>pehan@mst.dk</vt:lpwstr>
  </property>
  <property fmtid="{D5CDD505-2E9C-101B-9397-08002B2CF9AE}" pid="6" name="_AuthorEmailDisplayName">
    <vt:lpwstr>Hahn, Peter</vt:lpwstr>
  </property>
  <property fmtid="{D5CDD505-2E9C-101B-9397-08002B2CF9AE}" pid="7" name="_ReviewingToolsShownOnce">
    <vt:lpwstr/>
  </property>
</Properties>
</file>