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showSheetTabs="0" xWindow="0" yWindow="255" windowWidth="16860" windowHeight="9645" activeTab="0"/>
  </bookViews>
  <sheets>
    <sheet name="Omkostninger" sheetId="1" r:id="rId1"/>
    <sheet name="Læs pr. time" sheetId="2" r:id="rId2"/>
    <sheet name="Standardtal" sheetId="3" r:id="rId3"/>
    <sheet name="Udskrift" sheetId="4" r:id="rId4"/>
    <sheet name="Ark7" sheetId="5" r:id="rId5"/>
    <sheet name="Ark8" sheetId="6" r:id="rId6"/>
    <sheet name="Ark9" sheetId="7" r:id="rId7"/>
    <sheet name="Ark10" sheetId="8" r:id="rId8"/>
    <sheet name="Ark11" sheetId="9" r:id="rId9"/>
    <sheet name="Ark12" sheetId="10" r:id="rId10"/>
    <sheet name="Ark13" sheetId="11" r:id="rId11"/>
    <sheet name="Ark14" sheetId="12" r:id="rId12"/>
    <sheet name="Ark15" sheetId="13" r:id="rId13"/>
    <sheet name="Ark16" sheetId="14" r:id="rId14"/>
  </sheets>
  <definedNames>
    <definedName name="Afgrøder">'Omkostninger'!$A$66:$B$72</definedName>
    <definedName name="Metodeliste">'Omkostninger'!$A$37:$B$39</definedName>
    <definedName name="Prisliste">#REF!</definedName>
    <definedName name="_xlnm.Print_Area" localSheetId="0">'Omkostninger'!$A$1:$S$56</definedName>
    <definedName name="_xlnm.Print_Area" localSheetId="2">'Standardtal'!$A$2:$I$19</definedName>
    <definedName name="_xlnm.Print_Area" localSheetId="3">'Udskrift'!$A$1:$F$61</definedName>
  </definedNames>
  <calcPr fullCalcOnLoad="1"/>
</workbook>
</file>

<file path=xl/comments1.xml><?xml version="1.0" encoding="utf-8"?>
<comments xmlns="http://schemas.openxmlformats.org/spreadsheetml/2006/main">
  <authors>
    <author>Birkmose &amp; Hertz</author>
  </authors>
  <commentList>
    <comment ref="J64" authorId="0">
      <text>
        <r>
          <rPr>
            <b/>
            <sz val="8"/>
            <rFont val="Tahoma"/>
            <family val="0"/>
          </rPr>
          <t>Birkmose &amp; Hertz:</t>
        </r>
        <r>
          <rPr>
            <sz val="8"/>
            <rFont val="Tahoma"/>
            <family val="0"/>
          </rPr>
          <t xml:space="preserve">
Nettogevinst =
Merudbytte 
minus ekstra omkostning
minus ekstra køreskade</t>
        </r>
      </text>
    </comment>
  </commentList>
</comments>
</file>

<file path=xl/sharedStrings.xml><?xml version="1.0" encoding="utf-8"?>
<sst xmlns="http://schemas.openxmlformats.org/spreadsheetml/2006/main" count="156" uniqueCount="116">
  <si>
    <t>Investering</t>
  </si>
  <si>
    <t>Rente</t>
  </si>
  <si>
    <t>år</t>
  </si>
  <si>
    <t>kr</t>
  </si>
  <si>
    <t>Ton/år</t>
  </si>
  <si>
    <t>Læs pr. time</t>
  </si>
  <si>
    <t>Ton pr. ha</t>
  </si>
  <si>
    <t>Beregning af omkostninger ved gylleudbringning</t>
  </si>
  <si>
    <t>Ton pr. læs</t>
  </si>
  <si>
    <t>Kapitalindvindingsfaktor</t>
  </si>
  <si>
    <t>Udskrivningsdato:</t>
  </si>
  <si>
    <t>øre</t>
  </si>
  <si>
    <t>Ton pr. år</t>
  </si>
  <si>
    <t>timer pr. år</t>
  </si>
  <si>
    <t>Forudsætninger:</t>
  </si>
  <si>
    <t>Gyllevogn</t>
  </si>
  <si>
    <t>Slangebom</t>
  </si>
  <si>
    <t>Nedfælder</t>
  </si>
  <si>
    <t>Afstand</t>
  </si>
  <si>
    <t>Græsmarksnedfældning</t>
  </si>
  <si>
    <t>Sortjordsnedfældning</t>
  </si>
  <si>
    <t>Slangeudlægning</t>
  </si>
  <si>
    <t>Standardtal til omkostningsberegninger</t>
  </si>
  <si>
    <t>Forudsætninger</t>
  </si>
  <si>
    <t>Omkostning pr. ton</t>
  </si>
  <si>
    <t>kr. pr. ton</t>
  </si>
  <si>
    <t>ton pr. år</t>
  </si>
  <si>
    <t/>
  </si>
  <si>
    <t>Nøgletal:</t>
  </si>
  <si>
    <t>Tabel med vejledende antal læs gylle udbragt pr. time</t>
  </si>
  <si>
    <t>Dosering, ton pr. ha</t>
  </si>
  <si>
    <t>tank-mark,</t>
  </si>
  <si>
    <t>Nedfældning</t>
  </si>
  <si>
    <t>meter</t>
  </si>
  <si>
    <t>20 ton/ha</t>
  </si>
  <si>
    <t>30 ton/ha</t>
  </si>
  <si>
    <t>40 ton/ha</t>
  </si>
  <si>
    <t>50 ton/ha</t>
  </si>
  <si>
    <t>0 m</t>
  </si>
  <si>
    <t>250 m</t>
  </si>
  <si>
    <t>500 m</t>
  </si>
  <si>
    <t>750 m</t>
  </si>
  <si>
    <t>1000 m</t>
  </si>
  <si>
    <t>1250 m</t>
  </si>
  <si>
    <t>1500 m</t>
  </si>
  <si>
    <t>1750 m</t>
  </si>
  <si>
    <t>2000 m</t>
  </si>
  <si>
    <t>Fyldning</t>
  </si>
  <si>
    <t>5000 ltr. /min</t>
  </si>
  <si>
    <t>Omkostning ved aktuel årlig mængde</t>
  </si>
  <si>
    <t>Maskinstationspriser</t>
  </si>
  <si>
    <t>kr. pr. ton (ca. 1000 m mellem tank og mark)</t>
  </si>
  <si>
    <t>Slanger</t>
  </si>
  <si>
    <t>Sortjord</t>
  </si>
  <si>
    <t>Græsmark</t>
  </si>
  <si>
    <t>Vedligehold, øre pr. ton gylle</t>
  </si>
  <si>
    <t>Maskinstationspris</t>
  </si>
  <si>
    <t>pct.</t>
  </si>
  <si>
    <t>Inflation</t>
  </si>
  <si>
    <t>kr.</t>
  </si>
  <si>
    <t>Beregningsforudsætninger:</t>
  </si>
  <si>
    <t>Beregningsperiode, antal år</t>
  </si>
  <si>
    <t>Timeløn til traktorfører</t>
  </si>
  <si>
    <t>pct. p.a.</t>
  </si>
  <si>
    <t>Rente. pct. p.a.</t>
  </si>
  <si>
    <t>Investering, kr.</t>
  </si>
  <si>
    <t>øre pr. ton</t>
  </si>
  <si>
    <t>kr. pr. time</t>
  </si>
  <si>
    <t>ton pr. læs</t>
  </si>
  <si>
    <t>ton pr. ha</t>
  </si>
  <si>
    <t>læs pr. time</t>
  </si>
  <si>
    <t>Årlig vedligehold, øre pr. ton gylle</t>
  </si>
  <si>
    <t>Traktoromkostninger</t>
  </si>
  <si>
    <t>pct. af saldo</t>
  </si>
  <si>
    <t>Beregningsperiode</t>
  </si>
  <si>
    <t>Årlig afskrivning</t>
  </si>
  <si>
    <t>Traktoromkost. (forrent., afskriv., vedligehold og brændstof), kr/time</t>
  </si>
  <si>
    <t>Årlig afskrivning, pct. af saldo</t>
  </si>
  <si>
    <t>Traktoromkostninger, kr. pr. time</t>
  </si>
  <si>
    <t>Arbejdsbehov</t>
  </si>
  <si>
    <t>Gennemsnitlig årlig omkostning til forrentning og afskrivning</t>
  </si>
  <si>
    <t>Ligevægtsmængde (egen omkostning = maskinstation)</t>
  </si>
  <si>
    <t>Udbringningsmetode:</t>
  </si>
  <si>
    <t>25 tons</t>
  </si>
  <si>
    <t>24 m 4000 ltr./minut</t>
  </si>
  <si>
    <t>8,0 m 2000 ltr./minut.</t>
  </si>
  <si>
    <t>Traktoromkostninger beregningsgrundlag</t>
  </si>
  <si>
    <t>Brændstof i liter</t>
  </si>
  <si>
    <t>Værdi af forbrug af brændstof</t>
  </si>
  <si>
    <t>kr/liter</t>
  </si>
  <si>
    <t>Miljøstyrelsen, forudsætninger for BAT redegørelse</t>
  </si>
  <si>
    <t>Vedligeholdelsesomkostninger traktor</t>
  </si>
  <si>
    <t>Personlig kommunikation med Jens Johnsen Høy</t>
  </si>
  <si>
    <t>kr/traktortime</t>
  </si>
  <si>
    <t>Udkørsel 75 DE</t>
  </si>
  <si>
    <t>Udkørsel 150 DE</t>
  </si>
  <si>
    <t>Udkørsel 250 DE</t>
  </si>
  <si>
    <t>Udkørsel 500 DE</t>
  </si>
  <si>
    <t>Udkørsel 750 DE</t>
  </si>
  <si>
    <t>Udkørsel 950 DE</t>
  </si>
  <si>
    <t>Forbrug i kr/traktortime persolig komm. Karl Jørgen Nielsen</t>
  </si>
  <si>
    <t>Inflation, pct. p.a.*</t>
  </si>
  <si>
    <t>* Vi regner i faste priser, derfor indgår inflationen ikke.</t>
  </si>
  <si>
    <t>meters arbejdsbredde</t>
  </si>
  <si>
    <t>Landscenter Planteproduktion, Farmtal online</t>
  </si>
  <si>
    <t>Sortjordsnedfælder, gyllevogn med kran</t>
  </si>
  <si>
    <t>Græsmarksnedfælder, gyllevog med kran</t>
  </si>
  <si>
    <t>Slangeudlægger, gyllevogn med kran</t>
  </si>
  <si>
    <t>Brændstofpris</t>
  </si>
  <si>
    <t>Forbrug pr. time kørsel i mark og vej, personlig komm. Karl Jørgen Nielsen</t>
  </si>
  <si>
    <t xml:space="preserve">Traktortimer forbrugt </t>
  </si>
  <si>
    <t>350 hk traktor til rådighed på bedrift</t>
  </si>
  <si>
    <t>Vintersæd</t>
  </si>
  <si>
    <t>Vedligehold traktor</t>
  </si>
  <si>
    <t>kr./traktortime</t>
  </si>
  <si>
    <t>Landscenter Planteproduktion, Farmtal online (250 KW, 4 WD)</t>
  </si>
</sst>
</file>

<file path=xl/styles.xml><?xml version="1.0" encoding="utf-8"?>
<styleSheet xmlns="http://schemas.openxmlformats.org/spreadsheetml/2006/main">
  <numFmts count="41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kr&quot;\ #,##0.0_);[Red]\(&quot;kr&quot;\ #,##0.0\)"/>
    <numFmt numFmtId="173" formatCode="_(&quot;kr&quot;\ * #,##0.0_);_(&quot;kr&quot;\ * \(#,##0.0\);_(&quot;kr&quot;\ * &quot;-&quot;??_);_(@_)"/>
    <numFmt numFmtId="174" formatCode="_(&quot;kr&quot;\ * #,##0_);_(&quot;kr&quot;\ * \(#,##0\);_(&quot;kr&quot;\ * &quot;-&quot;??_);_(@_)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_([$€-2]\ * #,##0.00_);_([$€-2]\ * \(#,##0.00\);_([$€-2]\ * &quot;-&quot;??_)"/>
    <numFmt numFmtId="182" formatCode="0\ &quot;250 DE&quot;"/>
    <numFmt numFmtId="183" formatCode="d\.\ mmmm\ yyyy"/>
    <numFmt numFmtId="184" formatCode="d/m\ yyyy"/>
    <numFmt numFmtId="185" formatCode="#,##0.0"/>
    <numFmt numFmtId="186" formatCode="#,##0.0_);\(#,##0.0\)"/>
    <numFmt numFmtId="187" formatCode="&quot;Restværdi efter&quot;0&quot;år&quot;\:"/>
    <numFmt numFmtId="188" formatCode="&quot;Restværdi efter &quot;0&quot; år&quot;\:"/>
    <numFmt numFmtId="189" formatCode="&quot;Restværdi efter &quot;0&quot; år: (nutidskroner)&quot;"/>
    <numFmt numFmtId="190" formatCode="&quot;Restværdi efter &quot;0&quot; år: (nutidskroner):&quot;"/>
    <numFmt numFmtId="191" formatCode="&quot;Restværdi efter &quot;0&quot; år (nutidskroner):&quot;"/>
    <numFmt numFmtId="192" formatCode="&quot;Restværdi efter &quot;0.0&quot; år (nutidskroner):&quot;"/>
    <numFmt numFmtId="193" formatCode="#,##0.000_);\(#,##0.000\)"/>
    <numFmt numFmtId="194" formatCode="&quot;Ja&quot;;&quot;Ja&quot;;&quot;Nej&quot;"/>
    <numFmt numFmtId="195" formatCode="&quot;Sand&quot;;&quot;Sand&quot;;&quot;Falsk&quot;"/>
    <numFmt numFmtId="196" formatCode="&quot;Til&quot;;&quot;Til&quot;;&quot;Fra&quot;"/>
  </numFmts>
  <fonts count="41">
    <font>
      <sz val="10"/>
      <name val="Arial"/>
      <family val="0"/>
    </font>
    <font>
      <b/>
      <sz val="16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u val="single"/>
      <sz val="5.5"/>
      <color indexed="12"/>
      <name val="Arial"/>
      <family val="0"/>
    </font>
    <font>
      <u val="single"/>
      <sz val="5.5"/>
      <color indexed="36"/>
      <name val="Arial"/>
      <family val="0"/>
    </font>
    <font>
      <sz val="14"/>
      <name val="Arial"/>
      <family val="2"/>
    </font>
    <font>
      <u val="single"/>
      <sz val="14"/>
      <name val="Arial"/>
      <family val="2"/>
    </font>
    <font>
      <b/>
      <u val="single"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0"/>
    </font>
    <font>
      <sz val="10.5"/>
      <color indexed="8"/>
      <name val="Arial"/>
      <family val="0"/>
    </font>
    <font>
      <b/>
      <sz val="13.75"/>
      <color indexed="8"/>
      <name val="Arial"/>
      <family val="0"/>
    </font>
    <font>
      <sz val="11"/>
      <color indexed="8"/>
      <name val="Arial"/>
      <family val="0"/>
    </font>
    <font>
      <sz val="15.25"/>
      <color indexed="8"/>
      <name val="Arial"/>
      <family val="0"/>
    </font>
    <font>
      <b/>
      <sz val="14"/>
      <color indexed="8"/>
      <name val="Arial"/>
      <family val="0"/>
    </font>
    <font>
      <b/>
      <sz val="12"/>
      <color indexed="8"/>
      <name val="Arial"/>
      <family val="0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4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2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16" borderId="1" applyNumberFormat="0" applyFont="0" applyAlignment="0" applyProtection="0"/>
    <xf numFmtId="0" fontId="25" fillId="17" borderId="2" applyNumberFormat="0" applyAlignment="0" applyProtection="0"/>
    <xf numFmtId="0" fontId="1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1" fillId="0" borderId="0" applyNumberFormat="0" applyFill="0" applyBorder="0" applyAlignment="0" applyProtection="0"/>
    <xf numFmtId="0" fontId="23" fillId="7" borderId="2" applyNumberFormat="0" applyAlignment="0" applyProtection="0"/>
    <xf numFmtId="0" fontId="27" fillId="18" borderId="3" applyNumberFormat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22" borderId="0" applyNumberFormat="0" applyBorder="0" applyAlignment="0" applyProtection="0"/>
    <xf numFmtId="0" fontId="22" fillId="23" borderId="0" applyNumberFormat="0" applyBorder="0" applyAlignment="0" applyProtection="0"/>
    <xf numFmtId="0" fontId="24" fillId="17" borderId="4" applyNumberFormat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21" fillId="3" borderId="0" applyNumberFormat="0" applyBorder="0" applyAlignment="0" applyProtection="0"/>
    <xf numFmtId="44" fontId="0" fillId="0" borderId="0" applyFont="0" applyFill="0" applyBorder="0" applyAlignment="0" applyProtection="0"/>
  </cellStyleXfs>
  <cellXfs count="144">
    <xf numFmtId="0" fontId="0" fillId="0" borderId="0" xfId="0" applyAlignment="1">
      <alignment/>
    </xf>
    <xf numFmtId="0" fontId="0" fillId="4" borderId="0" xfId="0" applyFill="1" applyAlignment="1">
      <alignment/>
    </xf>
    <xf numFmtId="0" fontId="0" fillId="4" borderId="0" xfId="0" applyFill="1" applyBorder="1" applyAlignment="1">
      <alignment/>
    </xf>
    <xf numFmtId="0" fontId="0" fillId="4" borderId="10" xfId="0" applyFill="1" applyBorder="1" applyAlignment="1">
      <alignment/>
    </xf>
    <xf numFmtId="0" fontId="0" fillId="4" borderId="11" xfId="0" applyFill="1" applyBorder="1" applyAlignment="1">
      <alignment/>
    </xf>
    <xf numFmtId="0" fontId="7" fillId="4" borderId="0" xfId="0" applyFont="1" applyFill="1" applyAlignment="1">
      <alignment/>
    </xf>
    <xf numFmtId="0" fontId="5" fillId="4" borderId="0" xfId="0" applyFont="1" applyFill="1" applyAlignment="1">
      <alignment/>
    </xf>
    <xf numFmtId="0" fontId="3" fillId="4" borderId="0" xfId="0" applyFont="1" applyFill="1" applyAlignment="1">
      <alignment/>
    </xf>
    <xf numFmtId="0" fontId="4" fillId="4" borderId="11" xfId="0" applyFont="1" applyFill="1" applyBorder="1" applyAlignment="1">
      <alignment/>
    </xf>
    <xf numFmtId="0" fontId="4" fillId="4" borderId="0" xfId="0" applyFont="1" applyFill="1" applyAlignment="1">
      <alignment/>
    </xf>
    <xf numFmtId="0" fontId="6" fillId="4" borderId="0" xfId="0" applyFont="1" applyFill="1" applyAlignment="1">
      <alignment/>
    </xf>
    <xf numFmtId="0" fontId="5" fillId="4" borderId="12" xfId="0" applyFont="1" applyFill="1" applyBorder="1" applyAlignment="1">
      <alignment/>
    </xf>
    <xf numFmtId="0" fontId="0" fillId="4" borderId="12" xfId="0" applyFill="1" applyBorder="1" applyAlignment="1">
      <alignment/>
    </xf>
    <xf numFmtId="0" fontId="3" fillId="4" borderId="12" xfId="0" applyFont="1" applyFill="1" applyBorder="1" applyAlignment="1">
      <alignment/>
    </xf>
    <xf numFmtId="37" fontId="5" fillId="4" borderId="0" xfId="40" applyNumberFormat="1" applyFont="1" applyFill="1" applyAlignment="1">
      <alignment/>
    </xf>
    <xf numFmtId="0" fontId="5" fillId="4" borderId="0" xfId="0" applyFont="1" applyFill="1" applyBorder="1" applyAlignment="1">
      <alignment/>
    </xf>
    <xf numFmtId="0" fontId="3" fillId="4" borderId="0" xfId="0" applyFont="1" applyFill="1" applyBorder="1" applyAlignment="1">
      <alignment/>
    </xf>
    <xf numFmtId="0" fontId="0" fillId="4" borderId="0" xfId="0" applyFill="1" applyBorder="1" applyAlignment="1">
      <alignment horizontal="right"/>
    </xf>
    <xf numFmtId="0" fontId="6" fillId="4" borderId="0" xfId="0" applyFont="1" applyFill="1" applyBorder="1" applyAlignment="1">
      <alignment/>
    </xf>
    <xf numFmtId="39" fontId="5" fillId="4" borderId="0" xfId="40" applyNumberFormat="1" applyFont="1" applyFill="1" applyAlignment="1">
      <alignment/>
    </xf>
    <xf numFmtId="0" fontId="3" fillId="4" borderId="13" xfId="0" applyFont="1" applyFill="1" applyBorder="1" applyAlignment="1">
      <alignment/>
    </xf>
    <xf numFmtId="0" fontId="3" fillId="4" borderId="14" xfId="0" applyFont="1" applyFill="1" applyBorder="1" applyAlignment="1">
      <alignment/>
    </xf>
    <xf numFmtId="0" fontId="6" fillId="4" borderId="12" xfId="0" applyFont="1" applyFill="1" applyBorder="1" applyAlignment="1">
      <alignment/>
    </xf>
    <xf numFmtId="0" fontId="1" fillId="4" borderId="0" xfId="0" applyFont="1" applyFill="1" applyAlignment="1">
      <alignment/>
    </xf>
    <xf numFmtId="0" fontId="8" fillId="4" borderId="0" xfId="0" applyFont="1" applyFill="1" applyAlignment="1">
      <alignment/>
    </xf>
    <xf numFmtId="0" fontId="0" fillId="4" borderId="15" xfId="0" applyFill="1" applyBorder="1" applyAlignment="1">
      <alignment horizontal="center"/>
    </xf>
    <xf numFmtId="0" fontId="2" fillId="4" borderId="0" xfId="0" applyFont="1" applyFill="1" applyAlignment="1">
      <alignment/>
    </xf>
    <xf numFmtId="0" fontId="0" fillId="4" borderId="11" xfId="0" applyFill="1" applyBorder="1" applyAlignment="1">
      <alignment horizontal="center"/>
    </xf>
    <xf numFmtId="180" fontId="0" fillId="4" borderId="13" xfId="0" applyNumberFormat="1" applyFill="1" applyBorder="1" applyAlignment="1">
      <alignment horizontal="center"/>
    </xf>
    <xf numFmtId="0" fontId="0" fillId="4" borderId="0" xfId="0" applyFill="1" applyBorder="1" applyAlignment="1" quotePrefix="1">
      <alignment/>
    </xf>
    <xf numFmtId="2" fontId="0" fillId="4" borderId="0" xfId="0" applyNumberFormat="1" applyFill="1" applyBorder="1" applyAlignment="1">
      <alignment/>
    </xf>
    <xf numFmtId="177" fontId="0" fillId="4" borderId="0" xfId="0" applyNumberFormat="1" applyFill="1" applyBorder="1" applyAlignment="1">
      <alignment/>
    </xf>
    <xf numFmtId="1" fontId="0" fillId="4" borderId="0" xfId="63" applyNumberFormat="1" applyFont="1" applyFill="1" applyBorder="1" applyAlignment="1">
      <alignment/>
    </xf>
    <xf numFmtId="1" fontId="0" fillId="4" borderId="0" xfId="0" applyNumberFormat="1" applyFill="1" applyBorder="1" applyAlignment="1">
      <alignment/>
    </xf>
    <xf numFmtId="3" fontId="3" fillId="23" borderId="0" xfId="0" applyNumberFormat="1" applyFont="1" applyFill="1" applyAlignment="1" applyProtection="1">
      <alignment/>
      <protection locked="0"/>
    </xf>
    <xf numFmtId="0" fontId="3" fillId="23" borderId="0" xfId="0" applyFont="1" applyFill="1" applyAlignment="1" applyProtection="1">
      <alignment/>
      <protection locked="0"/>
    </xf>
    <xf numFmtId="1" fontId="3" fillId="23" borderId="0" xfId="0" applyNumberFormat="1" applyFont="1" applyFill="1" applyAlignment="1" applyProtection="1">
      <alignment/>
      <protection locked="0"/>
    </xf>
    <xf numFmtId="0" fontId="0" fillId="4" borderId="13" xfId="0" applyFill="1" applyBorder="1" applyAlignment="1">
      <alignment/>
    </xf>
    <xf numFmtId="0" fontId="5" fillId="4" borderId="16" xfId="0" applyFont="1" applyFill="1" applyBorder="1" applyAlignment="1">
      <alignment/>
    </xf>
    <xf numFmtId="0" fontId="5" fillId="4" borderId="17" xfId="0" applyFont="1" applyFill="1" applyBorder="1" applyAlignment="1">
      <alignment/>
    </xf>
    <xf numFmtId="0" fontId="3" fillId="4" borderId="17" xfId="0" applyFont="1" applyFill="1" applyBorder="1" applyAlignment="1">
      <alignment/>
    </xf>
    <xf numFmtId="0" fontId="0" fillId="4" borderId="18" xfId="0" applyFill="1" applyBorder="1" applyAlignment="1">
      <alignment/>
    </xf>
    <xf numFmtId="0" fontId="5" fillId="4" borderId="19" xfId="0" applyFont="1" applyFill="1" applyBorder="1" applyAlignment="1">
      <alignment/>
    </xf>
    <xf numFmtId="0" fontId="3" fillId="4" borderId="18" xfId="0" applyFont="1" applyFill="1" applyBorder="1" applyAlignment="1">
      <alignment/>
    </xf>
    <xf numFmtId="0" fontId="3" fillId="4" borderId="20" xfId="0" applyFont="1" applyFill="1" applyBorder="1" applyAlignment="1">
      <alignment/>
    </xf>
    <xf numFmtId="0" fontId="3" fillId="4" borderId="21" xfId="0" applyFont="1" applyFill="1" applyBorder="1" applyAlignment="1">
      <alignment/>
    </xf>
    <xf numFmtId="0" fontId="0" fillId="4" borderId="21" xfId="0" applyFill="1" applyBorder="1" applyAlignment="1">
      <alignment/>
    </xf>
    <xf numFmtId="0" fontId="0" fillId="4" borderId="22" xfId="0" applyFill="1" applyBorder="1" applyAlignment="1">
      <alignment/>
    </xf>
    <xf numFmtId="0" fontId="3" fillId="4" borderId="23" xfId="0" applyFont="1" applyFill="1" applyBorder="1" applyAlignment="1">
      <alignment/>
    </xf>
    <xf numFmtId="0" fontId="3" fillId="4" borderId="24" xfId="0" applyFont="1" applyFill="1" applyBorder="1" applyAlignment="1">
      <alignment/>
    </xf>
    <xf numFmtId="0" fontId="0" fillId="4" borderId="24" xfId="0" applyFill="1" applyBorder="1" applyAlignment="1">
      <alignment/>
    </xf>
    <xf numFmtId="0" fontId="0" fillId="4" borderId="25" xfId="0" applyFill="1" applyBorder="1" applyAlignment="1">
      <alignment/>
    </xf>
    <xf numFmtId="0" fontId="1" fillId="4" borderId="0" xfId="0" applyFont="1" applyFill="1" applyBorder="1" applyAlignment="1">
      <alignment/>
    </xf>
    <xf numFmtId="0" fontId="0" fillId="4" borderId="26" xfId="0" applyFill="1" applyBorder="1" applyAlignment="1">
      <alignment horizontal="center"/>
    </xf>
    <xf numFmtId="0" fontId="0" fillId="4" borderId="27" xfId="0" applyFill="1" applyBorder="1" applyAlignment="1">
      <alignment horizontal="right"/>
    </xf>
    <xf numFmtId="0" fontId="0" fillId="4" borderId="28" xfId="0" applyFill="1" applyBorder="1" applyAlignment="1">
      <alignment horizontal="center"/>
    </xf>
    <xf numFmtId="180" fontId="0" fillId="4" borderId="29" xfId="0" applyNumberFormat="1" applyFill="1" applyBorder="1" applyAlignment="1">
      <alignment horizontal="center"/>
    </xf>
    <xf numFmtId="0" fontId="0" fillId="4" borderId="30" xfId="0" applyFill="1" applyBorder="1" applyAlignment="1">
      <alignment horizontal="center"/>
    </xf>
    <xf numFmtId="180" fontId="0" fillId="4" borderId="31" xfId="0" applyNumberFormat="1" applyFill="1" applyBorder="1" applyAlignment="1">
      <alignment horizontal="center"/>
    </xf>
    <xf numFmtId="0" fontId="0" fillId="4" borderId="32" xfId="0" applyFill="1" applyBorder="1" applyAlignment="1">
      <alignment horizontal="right"/>
    </xf>
    <xf numFmtId="180" fontId="0" fillId="4" borderId="33" xfId="0" applyNumberFormat="1" applyFill="1" applyBorder="1" applyAlignment="1">
      <alignment horizontal="center"/>
    </xf>
    <xf numFmtId="180" fontId="0" fillId="4" borderId="34" xfId="0" applyNumberFormat="1" applyFill="1" applyBorder="1" applyAlignment="1">
      <alignment horizontal="center"/>
    </xf>
    <xf numFmtId="180" fontId="0" fillId="4" borderId="22" xfId="0" applyNumberFormat="1" applyFill="1" applyBorder="1" applyAlignment="1">
      <alignment horizontal="center"/>
    </xf>
    <xf numFmtId="0" fontId="0" fillId="4" borderId="35" xfId="0" applyFill="1" applyBorder="1" applyAlignment="1">
      <alignment horizontal="right"/>
    </xf>
    <xf numFmtId="180" fontId="0" fillId="4" borderId="36" xfId="0" applyNumberFormat="1" applyFill="1" applyBorder="1" applyAlignment="1">
      <alignment horizontal="center"/>
    </xf>
    <xf numFmtId="180" fontId="0" fillId="4" borderId="37" xfId="0" applyNumberFormat="1" applyFill="1" applyBorder="1" applyAlignment="1">
      <alignment horizontal="center"/>
    </xf>
    <xf numFmtId="180" fontId="0" fillId="4" borderId="25" xfId="0" applyNumberFormat="1" applyFill="1" applyBorder="1" applyAlignment="1">
      <alignment horizontal="center"/>
    </xf>
    <xf numFmtId="0" fontId="6" fillId="4" borderId="0" xfId="0" applyFont="1" applyFill="1" applyAlignment="1" applyProtection="1">
      <alignment/>
      <protection locked="0"/>
    </xf>
    <xf numFmtId="0" fontId="6" fillId="4" borderId="11" xfId="0" applyFont="1" applyFill="1" applyBorder="1" applyAlignment="1" applyProtection="1">
      <alignment/>
      <protection locked="0"/>
    </xf>
    <xf numFmtId="0" fontId="6" fillId="4" borderId="0" xfId="0" applyFont="1" applyFill="1" applyBorder="1" applyAlignment="1" applyProtection="1">
      <alignment/>
      <protection locked="0"/>
    </xf>
    <xf numFmtId="4" fontId="3" fillId="23" borderId="0" xfId="0" applyNumberFormat="1" applyFont="1" applyFill="1" applyAlignment="1" applyProtection="1">
      <alignment/>
      <protection locked="0"/>
    </xf>
    <xf numFmtId="2" fontId="6" fillId="4" borderId="0" xfId="0" applyNumberFormat="1" applyFont="1" applyFill="1" applyBorder="1" applyAlignment="1" applyProtection="1">
      <alignment/>
      <protection locked="0"/>
    </xf>
    <xf numFmtId="0" fontId="0" fillId="4" borderId="0" xfId="0" applyFill="1" applyBorder="1" applyAlignment="1" applyProtection="1">
      <alignment/>
      <protection locked="0"/>
    </xf>
    <xf numFmtId="0" fontId="3" fillId="23" borderId="11" xfId="0" applyFont="1" applyFill="1" applyBorder="1" applyAlignment="1" applyProtection="1">
      <alignment/>
      <protection locked="0"/>
    </xf>
    <xf numFmtId="0" fontId="3" fillId="23" borderId="0" xfId="0" applyFont="1" applyFill="1" applyBorder="1" applyAlignment="1" applyProtection="1">
      <alignment/>
      <protection locked="0"/>
    </xf>
    <xf numFmtId="180" fontId="3" fillId="23" borderId="0" xfId="0" applyNumberFormat="1" applyFont="1" applyFill="1" applyAlignment="1" applyProtection="1">
      <alignment horizontal="right"/>
      <protection locked="0"/>
    </xf>
    <xf numFmtId="2" fontId="3" fillId="23" borderId="0" xfId="0" applyNumberFormat="1" applyFont="1" applyFill="1" applyAlignment="1" applyProtection="1">
      <alignment/>
      <protection locked="0"/>
    </xf>
    <xf numFmtId="3" fontId="5" fillId="4" borderId="0" xfId="0" applyNumberFormat="1" applyFont="1" applyFill="1" applyAlignment="1" applyProtection="1">
      <alignment/>
      <protection locked="0"/>
    </xf>
    <xf numFmtId="37" fontId="3" fillId="23" borderId="32" xfId="40" applyNumberFormat="1" applyFont="1" applyFill="1" applyBorder="1" applyAlignment="1" applyProtection="1">
      <alignment/>
      <protection locked="0"/>
    </xf>
    <xf numFmtId="37" fontId="3" fillId="23" borderId="21" xfId="40" applyNumberFormat="1" applyFont="1" applyFill="1" applyBorder="1" applyAlignment="1" applyProtection="1">
      <alignment/>
      <protection locked="0"/>
    </xf>
    <xf numFmtId="37" fontId="3" fillId="23" borderId="20" xfId="40" applyNumberFormat="1" applyFont="1" applyFill="1" applyBorder="1" applyAlignment="1" applyProtection="1">
      <alignment/>
      <protection locked="0"/>
    </xf>
    <xf numFmtId="0" fontId="0" fillId="23" borderId="22" xfId="0" applyFill="1" applyBorder="1" applyAlignment="1" applyProtection="1">
      <alignment/>
      <protection locked="0"/>
    </xf>
    <xf numFmtId="0" fontId="3" fillId="23" borderId="35" xfId="0" applyFont="1" applyFill="1" applyBorder="1" applyAlignment="1" applyProtection="1">
      <alignment/>
      <protection locked="0"/>
    </xf>
    <xf numFmtId="0" fontId="3" fillId="23" borderId="24" xfId="0" applyFont="1" applyFill="1" applyBorder="1" applyAlignment="1" applyProtection="1">
      <alignment/>
      <protection locked="0"/>
    </xf>
    <xf numFmtId="0" fontId="3" fillId="23" borderId="23" xfId="0" applyFont="1" applyFill="1" applyBorder="1" applyAlignment="1" applyProtection="1">
      <alignment/>
      <protection locked="0"/>
    </xf>
    <xf numFmtId="0" fontId="0" fillId="23" borderId="25" xfId="0" applyFill="1" applyBorder="1" applyAlignment="1" applyProtection="1">
      <alignment/>
      <protection locked="0"/>
    </xf>
    <xf numFmtId="1" fontId="3" fillId="23" borderId="35" xfId="0" applyNumberFormat="1" applyFont="1" applyFill="1" applyBorder="1" applyAlignment="1" applyProtection="1">
      <alignment/>
      <protection locked="0"/>
    </xf>
    <xf numFmtId="1" fontId="3" fillId="23" borderId="24" xfId="0" applyNumberFormat="1" applyFont="1" applyFill="1" applyBorder="1" applyAlignment="1" applyProtection="1">
      <alignment/>
      <protection locked="0"/>
    </xf>
    <xf numFmtId="1" fontId="3" fillId="23" borderId="23" xfId="0" applyNumberFormat="1" applyFont="1" applyFill="1" applyBorder="1" applyAlignment="1" applyProtection="1">
      <alignment/>
      <protection locked="0"/>
    </xf>
    <xf numFmtId="180" fontId="3" fillId="23" borderId="35" xfId="0" applyNumberFormat="1" applyFont="1" applyFill="1" applyBorder="1" applyAlignment="1" applyProtection="1">
      <alignment/>
      <protection locked="0"/>
    </xf>
    <xf numFmtId="180" fontId="3" fillId="23" borderId="24" xfId="0" applyNumberFormat="1" applyFont="1" applyFill="1" applyBorder="1" applyAlignment="1" applyProtection="1">
      <alignment/>
      <protection locked="0"/>
    </xf>
    <xf numFmtId="180" fontId="3" fillId="23" borderId="23" xfId="0" applyNumberFormat="1" applyFont="1" applyFill="1" applyBorder="1" applyAlignment="1" applyProtection="1">
      <alignment/>
      <protection locked="0"/>
    </xf>
    <xf numFmtId="37" fontId="3" fillId="23" borderId="35" xfId="40" applyNumberFormat="1" applyFont="1" applyFill="1" applyBorder="1" applyAlignment="1" applyProtection="1">
      <alignment/>
      <protection locked="0"/>
    </xf>
    <xf numFmtId="37" fontId="3" fillId="23" borderId="24" xfId="40" applyNumberFormat="1" applyFont="1" applyFill="1" applyBorder="1" applyAlignment="1" applyProtection="1">
      <alignment/>
      <protection locked="0"/>
    </xf>
    <xf numFmtId="37" fontId="3" fillId="23" borderId="23" xfId="40" applyNumberFormat="1" applyFont="1" applyFill="1" applyBorder="1" applyAlignment="1" applyProtection="1">
      <alignment/>
      <protection locked="0"/>
    </xf>
    <xf numFmtId="2" fontId="3" fillId="23" borderId="12" xfId="0" applyNumberFormat="1" applyFont="1" applyFill="1" applyBorder="1" applyAlignment="1" applyProtection="1">
      <alignment/>
      <protection locked="0"/>
    </xf>
    <xf numFmtId="0" fontId="3" fillId="23" borderId="13" xfId="0" applyFont="1" applyFill="1" applyBorder="1" applyAlignment="1" applyProtection="1">
      <alignment/>
      <protection locked="0"/>
    </xf>
    <xf numFmtId="0" fontId="8" fillId="0" borderId="0" xfId="0" applyFont="1" applyFill="1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Font="1" applyFill="1" applyAlignment="1">
      <alignment/>
    </xf>
    <xf numFmtId="183" fontId="0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5" fillId="0" borderId="0" xfId="0" applyFont="1" applyAlignment="1">
      <alignment/>
    </xf>
    <xf numFmtId="37" fontId="0" fillId="4" borderId="0" xfId="0" applyNumberFormat="1" applyFill="1" applyBorder="1" applyAlignment="1">
      <alignment/>
    </xf>
    <xf numFmtId="1" fontId="0" fillId="0" borderId="0" xfId="0" applyNumberFormat="1" applyAlignment="1">
      <alignment/>
    </xf>
    <xf numFmtId="2" fontId="3" fillId="23" borderId="27" xfId="0" applyNumberFormat="1" applyFont="1" applyFill="1" applyBorder="1" applyAlignment="1" applyProtection="1">
      <alignment/>
      <protection locked="0"/>
    </xf>
    <xf numFmtId="2" fontId="3" fillId="23" borderId="14" xfId="0" applyNumberFormat="1" applyFont="1" applyFill="1" applyBorder="1" applyAlignment="1" applyProtection="1">
      <alignment/>
      <protection locked="0"/>
    </xf>
    <xf numFmtId="180" fontId="0" fillId="0" borderId="0" xfId="0" applyNumberFormat="1" applyAlignment="1">
      <alignment/>
    </xf>
    <xf numFmtId="185" fontId="3" fillId="23" borderId="0" xfId="0" applyNumberFormat="1" applyFont="1" applyFill="1" applyAlignment="1" applyProtection="1">
      <alignment/>
      <protection locked="0"/>
    </xf>
    <xf numFmtId="0" fontId="13" fillId="4" borderId="11" xfId="0" applyFont="1" applyFill="1" applyBorder="1" applyAlignment="1">
      <alignment/>
    </xf>
    <xf numFmtId="0" fontId="0" fillId="0" borderId="0" xfId="0" applyFont="1" applyAlignment="1">
      <alignment horizontal="center" wrapText="1"/>
    </xf>
    <xf numFmtId="0" fontId="3" fillId="4" borderId="0" xfId="0" applyFont="1" applyFill="1" applyAlignment="1" applyProtection="1">
      <alignment/>
      <protection locked="0"/>
    </xf>
    <xf numFmtId="3" fontId="3" fillId="4" borderId="0" xfId="0" applyNumberFormat="1" applyFont="1" applyFill="1" applyAlignment="1" applyProtection="1">
      <alignment/>
      <protection locked="0"/>
    </xf>
    <xf numFmtId="4" fontId="3" fillId="4" borderId="0" xfId="0" applyNumberFormat="1" applyFont="1" applyFill="1" applyAlignment="1" applyProtection="1">
      <alignment/>
      <protection locked="0"/>
    </xf>
    <xf numFmtId="6" fontId="3" fillId="4" borderId="0" xfId="0" applyNumberFormat="1" applyFont="1" applyFill="1" applyAlignment="1" applyProtection="1">
      <alignment/>
      <protection locked="0"/>
    </xf>
    <xf numFmtId="0" fontId="0" fillId="24" borderId="35" xfId="0" applyFill="1" applyBorder="1" applyAlignment="1">
      <alignment horizontal="right"/>
    </xf>
    <xf numFmtId="180" fontId="0" fillId="24" borderId="36" xfId="0" applyNumberFormat="1" applyFill="1" applyBorder="1" applyAlignment="1">
      <alignment horizontal="center"/>
    </xf>
    <xf numFmtId="180" fontId="0" fillId="24" borderId="37" xfId="0" applyNumberFormat="1" applyFill="1" applyBorder="1" applyAlignment="1">
      <alignment horizontal="center"/>
    </xf>
    <xf numFmtId="180" fontId="0" fillId="24" borderId="25" xfId="0" applyNumberFormat="1" applyFill="1" applyBorder="1" applyAlignment="1">
      <alignment horizontal="center"/>
    </xf>
    <xf numFmtId="0" fontId="14" fillId="4" borderId="0" xfId="0" applyFont="1" applyFill="1" applyBorder="1" applyAlignment="1" applyProtection="1">
      <alignment/>
      <protection locked="0"/>
    </xf>
    <xf numFmtId="0" fontId="15" fillId="4" borderId="0" xfId="0" applyFont="1" applyFill="1" applyBorder="1" applyAlignment="1">
      <alignment/>
    </xf>
    <xf numFmtId="0" fontId="0" fillId="4" borderId="38" xfId="0" applyFill="1" applyBorder="1" applyAlignment="1">
      <alignment/>
    </xf>
    <xf numFmtId="0" fontId="2" fillId="4" borderId="0" xfId="0" applyFont="1" applyFill="1" applyBorder="1" applyAlignment="1">
      <alignment/>
    </xf>
    <xf numFmtId="0" fontId="3" fillId="4" borderId="0" xfId="0" applyFont="1" applyFill="1" applyAlignment="1">
      <alignment/>
    </xf>
    <xf numFmtId="0" fontId="3" fillId="4" borderId="0" xfId="0" applyFont="1" applyFill="1" applyAlignment="1">
      <alignment horizontal="right"/>
    </xf>
    <xf numFmtId="0" fontId="3" fillId="4" borderId="39" xfId="0" applyFont="1" applyFill="1" applyBorder="1" applyAlignment="1">
      <alignment/>
    </xf>
    <xf numFmtId="0" fontId="3" fillId="4" borderId="40" xfId="0" applyFont="1" applyFill="1" applyBorder="1" applyAlignment="1">
      <alignment/>
    </xf>
    <xf numFmtId="0" fontId="3" fillId="4" borderId="41" xfId="0" applyFont="1" applyFill="1" applyBorder="1" applyAlignment="1">
      <alignment/>
    </xf>
    <xf numFmtId="0" fontId="3" fillId="4" borderId="0" xfId="0" applyFont="1" applyFill="1" applyBorder="1" applyAlignment="1">
      <alignment/>
    </xf>
    <xf numFmtId="0" fontId="3" fillId="4" borderId="42" xfId="0" applyFont="1" applyFill="1" applyBorder="1" applyAlignment="1">
      <alignment/>
    </xf>
    <xf numFmtId="0" fontId="3" fillId="4" borderId="38" xfId="0" applyFont="1" applyFill="1" applyBorder="1" applyAlignment="1">
      <alignment/>
    </xf>
    <xf numFmtId="0" fontId="5" fillId="4" borderId="0" xfId="0" applyFont="1" applyFill="1" applyAlignment="1">
      <alignment/>
    </xf>
    <xf numFmtId="0" fontId="3" fillId="4" borderId="0" xfId="0" applyFont="1" applyFill="1" applyAlignment="1">
      <alignment/>
    </xf>
    <xf numFmtId="184" fontId="15" fillId="4" borderId="0" xfId="0" applyNumberFormat="1" applyFont="1" applyFill="1" applyBorder="1" applyAlignment="1">
      <alignment horizontal="center"/>
    </xf>
    <xf numFmtId="191" fontId="5" fillId="4" borderId="0" xfId="0" applyNumberFormat="1" applyFont="1" applyFill="1" applyBorder="1" applyAlignment="1">
      <alignment horizontal="left"/>
    </xf>
    <xf numFmtId="0" fontId="0" fillId="4" borderId="17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3" fillId="4" borderId="0" xfId="0" applyFont="1" applyFill="1" applyAlignment="1">
      <alignment horizontal="left"/>
    </xf>
    <xf numFmtId="191" fontId="0" fillId="0" borderId="0" xfId="0" applyNumberFormat="1" applyFont="1" applyFill="1" applyBorder="1" applyAlignment="1">
      <alignment horizontal="left"/>
    </xf>
    <xf numFmtId="184" fontId="4" fillId="0" borderId="0" xfId="0" applyNumberFormat="1" applyFont="1" applyFill="1" applyAlignment="1">
      <alignment horizontal="center"/>
    </xf>
    <xf numFmtId="0" fontId="4" fillId="0" borderId="0" xfId="0" applyFont="1" applyAlignment="1">
      <alignment horizontal="center"/>
    </xf>
  </cellXfs>
  <cellStyles count="50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Followed Hyperlink" xfId="39"/>
    <cellStyle name="Euro" xfId="40"/>
    <cellStyle name="Forklarende tekst" xfId="41"/>
    <cellStyle name="God" xfId="42"/>
    <cellStyle name="Hyperlink" xfId="43"/>
    <cellStyle name="Input" xfId="44"/>
    <cellStyle name="Kontroller celle" xfId="45"/>
    <cellStyle name="Markeringsfarve1" xfId="46"/>
    <cellStyle name="Markeringsfarve2" xfId="47"/>
    <cellStyle name="Markeringsfarve3" xfId="48"/>
    <cellStyle name="Markeringsfarve4" xfId="49"/>
    <cellStyle name="Markeringsfarve5" xfId="50"/>
    <cellStyle name="Markeringsfarve6" xfId="51"/>
    <cellStyle name="Neutral" xfId="52"/>
    <cellStyle name="Output" xfId="53"/>
    <cellStyle name="Overskrift 1" xfId="54"/>
    <cellStyle name="Overskrift 2" xfId="55"/>
    <cellStyle name="Overskrift 3" xfId="56"/>
    <cellStyle name="Overskrift 4" xfId="57"/>
    <cellStyle name="Percent" xfId="58"/>
    <cellStyle name="Sammenkædet celle" xfId="59"/>
    <cellStyle name="Titel" xfId="60"/>
    <cellStyle name="Total" xfId="61"/>
    <cellStyle name="Ugyldig" xfId="62"/>
    <cellStyle name="Currenc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725"/>
          <c:y val="0"/>
          <c:w val="0.7655"/>
          <c:h val="0.76375"/>
        </c:manualLayout>
      </c:layout>
      <c:scatterChart>
        <c:scatterStyle val="lineMarker"/>
        <c:varyColors val="0"/>
        <c:ser>
          <c:idx val="0"/>
          <c:order val="0"/>
          <c:tx>
            <c:strRef>
              <c:f>Omkostninger!$L$74</c:f>
              <c:strCache>
                <c:ptCount val="1"/>
                <c:pt idx="0">
                  <c:v>Slangeudlægning, omkostning med eget udstyr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Omkostninger!$J$75:$J$95</c:f>
              <c:numCache>
                <c:ptCount val="21"/>
                <c:pt idx="0">
                  <c:v>100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  <c:pt idx="11">
                  <c:v>11000</c:v>
                </c:pt>
                <c:pt idx="12">
                  <c:v>12000</c:v>
                </c:pt>
                <c:pt idx="13">
                  <c:v>13000</c:v>
                </c:pt>
                <c:pt idx="14">
                  <c:v>14000</c:v>
                </c:pt>
                <c:pt idx="15">
                  <c:v>15000</c:v>
                </c:pt>
                <c:pt idx="16">
                  <c:v>16000</c:v>
                </c:pt>
                <c:pt idx="17">
                  <c:v>17000</c:v>
                </c:pt>
                <c:pt idx="18">
                  <c:v>18000</c:v>
                </c:pt>
                <c:pt idx="19">
                  <c:v>19000</c:v>
                </c:pt>
                <c:pt idx="20">
                  <c:v>20000</c:v>
                </c:pt>
              </c:numCache>
            </c:numRef>
          </c:xVal>
          <c:yVal>
            <c:numRef>
              <c:f>Omkostninger!$L$75:$L$95</c:f>
              <c:numCache>
                <c:ptCount val="21"/>
                <c:pt idx="0">
                  <c:v>1599.1339314784861</c:v>
                </c:pt>
                <c:pt idx="1">
                  <c:v>164.59672648118195</c:v>
                </c:pt>
                <c:pt idx="2">
                  <c:v>84.90021509244282</c:v>
                </c:pt>
                <c:pt idx="3">
                  <c:v>58.334711296196446</c:v>
                </c:pt>
                <c:pt idx="4">
                  <c:v>45.051959398073265</c:v>
                </c:pt>
                <c:pt idx="5">
                  <c:v>37.08230825919935</c:v>
                </c:pt>
                <c:pt idx="6">
                  <c:v>31.769207499950078</c:v>
                </c:pt>
                <c:pt idx="7">
                  <c:v>27.97413552905774</c:v>
                </c:pt>
                <c:pt idx="8">
                  <c:v>25.127831550888487</c:v>
                </c:pt>
                <c:pt idx="9">
                  <c:v>22.914039567867956</c:v>
                </c:pt>
                <c:pt idx="10">
                  <c:v>21.14300598145153</c:v>
                </c:pt>
                <c:pt idx="11">
                  <c:v>19.69397850165627</c:v>
                </c:pt>
                <c:pt idx="12">
                  <c:v>18.48645560182689</c:v>
                </c:pt>
                <c:pt idx="13">
                  <c:v>17.464705455817413</c:v>
                </c:pt>
                <c:pt idx="14">
                  <c:v>16.58891961638072</c:v>
                </c:pt>
                <c:pt idx="15">
                  <c:v>15.829905222202253</c:v>
                </c:pt>
                <c:pt idx="16">
                  <c:v>15.165767627296095</c:v>
                </c:pt>
                <c:pt idx="17">
                  <c:v>14.579763867084775</c:v>
                </c:pt>
                <c:pt idx="18">
                  <c:v>14.058871635785827</c:v>
                </c:pt>
                <c:pt idx="19">
                  <c:v>13.59281016567624</c:v>
                </c:pt>
                <c:pt idx="20">
                  <c:v>13.173354842577616</c:v>
                </c:pt>
              </c:numCache>
            </c:numRef>
          </c:yVal>
          <c:smooth val="1"/>
        </c:ser>
        <c:ser>
          <c:idx val="4"/>
          <c:order val="1"/>
          <c:tx>
            <c:strRef>
              <c:f>Omkostninger!$N$74</c:f>
              <c:strCache>
                <c:ptCount val="1"/>
                <c:pt idx="0">
                  <c:v>Slangeudlægning, omkostning med maskinstation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Omkostninger!$J$75:$J$95</c:f>
              <c:numCache>
                <c:ptCount val="21"/>
                <c:pt idx="0">
                  <c:v>100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  <c:pt idx="11">
                  <c:v>11000</c:v>
                </c:pt>
                <c:pt idx="12">
                  <c:v>12000</c:v>
                </c:pt>
                <c:pt idx="13">
                  <c:v>13000</c:v>
                </c:pt>
                <c:pt idx="14">
                  <c:v>14000</c:v>
                </c:pt>
                <c:pt idx="15">
                  <c:v>15000</c:v>
                </c:pt>
                <c:pt idx="16">
                  <c:v>16000</c:v>
                </c:pt>
                <c:pt idx="17">
                  <c:v>17000</c:v>
                </c:pt>
                <c:pt idx="18">
                  <c:v>18000</c:v>
                </c:pt>
                <c:pt idx="19">
                  <c:v>19000</c:v>
                </c:pt>
                <c:pt idx="20">
                  <c:v>20000</c:v>
                </c:pt>
              </c:numCache>
            </c:numRef>
          </c:xVal>
          <c:yVal>
            <c:numRef>
              <c:f>Omkostninger!$N$75:$N$95</c:f>
              <c:numCache>
                <c:ptCount val="21"/>
                <c:pt idx="0">
                  <c:v>11.5</c:v>
                </c:pt>
                <c:pt idx="1">
                  <c:v>11.5</c:v>
                </c:pt>
                <c:pt idx="2">
                  <c:v>11.5</c:v>
                </c:pt>
                <c:pt idx="3">
                  <c:v>11.5</c:v>
                </c:pt>
                <c:pt idx="4">
                  <c:v>11.5</c:v>
                </c:pt>
                <c:pt idx="5">
                  <c:v>11.5</c:v>
                </c:pt>
                <c:pt idx="6">
                  <c:v>11.5</c:v>
                </c:pt>
                <c:pt idx="7">
                  <c:v>11.5</c:v>
                </c:pt>
                <c:pt idx="8">
                  <c:v>11.5</c:v>
                </c:pt>
                <c:pt idx="9">
                  <c:v>11.5</c:v>
                </c:pt>
                <c:pt idx="10">
                  <c:v>11.5</c:v>
                </c:pt>
                <c:pt idx="11">
                  <c:v>11.5</c:v>
                </c:pt>
                <c:pt idx="12">
                  <c:v>11.5</c:v>
                </c:pt>
                <c:pt idx="13">
                  <c:v>11.5</c:v>
                </c:pt>
                <c:pt idx="14">
                  <c:v>11.5</c:v>
                </c:pt>
                <c:pt idx="15">
                  <c:v>11.5</c:v>
                </c:pt>
                <c:pt idx="16">
                  <c:v>11.5</c:v>
                </c:pt>
                <c:pt idx="17">
                  <c:v>11.5</c:v>
                </c:pt>
                <c:pt idx="18">
                  <c:v>11.5</c:v>
                </c:pt>
                <c:pt idx="19">
                  <c:v>11.5</c:v>
                </c:pt>
                <c:pt idx="20">
                  <c:v>11.5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Omkostninger!$M$74</c:f>
              <c:strCache>
                <c:ptCount val="1"/>
                <c:pt idx="0">
                  <c:v>Omkostning ved aktuel årlig mængde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CCFFCC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Omkostninger!$J$96</c:f>
              <c:numCache>
                <c:ptCount val="1"/>
                <c:pt idx="0">
                  <c:v>4250</c:v>
                </c:pt>
              </c:numCache>
            </c:numRef>
          </c:xVal>
          <c:yVal>
            <c:numRef>
              <c:f>Omkostninger!$M$96</c:f>
              <c:numCache>
                <c:ptCount val="1"/>
                <c:pt idx="0">
                  <c:v>42.707944357227994</c:v>
                </c:pt>
              </c:numCache>
            </c:numRef>
          </c:yVal>
          <c:smooth val="0"/>
        </c:ser>
        <c:ser>
          <c:idx val="2"/>
          <c:order val="3"/>
          <c:tx>
            <c:v>Ligevægtsmængde</c:v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Omkostninger!$J$97:$J$98</c:f>
              <c:numCache>
                <c:ptCount val="2"/>
                <c:pt idx="0">
                  <c:v>25315.3624411289</c:v>
                </c:pt>
                <c:pt idx="1">
                  <c:v>25315.3624411289</c:v>
                </c:pt>
              </c:numCache>
            </c:numRef>
          </c:xVal>
          <c:yVal>
            <c:numRef>
              <c:f>Omkostninger!$O$98:$O$99</c:f>
              <c:numCache>
                <c:ptCount val="2"/>
                <c:pt idx="0">
                  <c:v>0</c:v>
                </c:pt>
                <c:pt idx="1">
                  <c:v>11.5</c:v>
                </c:pt>
              </c:numCache>
            </c:numRef>
          </c:yVal>
          <c:smooth val="0"/>
        </c:ser>
        <c:axId val="40379467"/>
        <c:axId val="37002772"/>
      </c:scatterChart>
      <c:valAx>
        <c:axId val="40379467"/>
        <c:scaling>
          <c:orientation val="minMax"/>
          <c:max val="250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Ton pr. år</a:t>
                </a:r>
              </a:p>
            </c:rich>
          </c:tx>
          <c:layout>
            <c:manualLayout>
              <c:xMode val="factor"/>
              <c:yMode val="factor"/>
              <c:x val="0.00125"/>
              <c:y val="0.1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002772"/>
        <c:crosses val="autoZero"/>
        <c:crossBetween val="midCat"/>
        <c:dispUnits/>
        <c:majorUnit val="4000"/>
      </c:valAx>
      <c:valAx>
        <c:axId val="37002772"/>
        <c:scaling>
          <c:orientation val="minMax"/>
          <c:max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Kr. pr. ton</a:t>
                </a:r>
              </a:p>
            </c:rich>
          </c:tx>
          <c:layout>
            <c:manualLayout>
              <c:xMode val="factor"/>
              <c:yMode val="factor"/>
              <c:x val="-0.003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379467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1125"/>
          <c:y val="0.839"/>
          <c:w val="0.8655"/>
          <c:h val="0.1585"/>
        </c:manualLayout>
      </c:layout>
      <c:overlay val="0"/>
      <c:spPr>
        <a:solidFill>
          <a:srgbClr val="CCFFCC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Omkostninger pr. ton gylle - 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eget udstyr og maskinstation</a:t>
            </a:r>
          </a:p>
        </c:rich>
      </c:tx>
      <c:layout>
        <c:manualLayout>
          <c:xMode val="factor"/>
          <c:yMode val="factor"/>
          <c:x val="-0.0167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1"/>
          <c:y val="0.105"/>
          <c:w val="0.77075"/>
          <c:h val="0.60525"/>
        </c:manualLayout>
      </c:layout>
      <c:scatterChart>
        <c:scatterStyle val="lineMarker"/>
        <c:varyColors val="0"/>
        <c:ser>
          <c:idx val="0"/>
          <c:order val="0"/>
          <c:tx>
            <c:strRef>
              <c:f>Omkostninger!$L$74</c:f>
              <c:strCache>
                <c:ptCount val="1"/>
                <c:pt idx="0">
                  <c:v>Slangeudlægning, omkostning med eget udstyr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Omkostninger!$J$75:$J$95</c:f>
              <c:numCache>
                <c:ptCount val="21"/>
                <c:pt idx="0">
                  <c:v>100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  <c:pt idx="11">
                  <c:v>11000</c:v>
                </c:pt>
                <c:pt idx="12">
                  <c:v>12000</c:v>
                </c:pt>
                <c:pt idx="13">
                  <c:v>13000</c:v>
                </c:pt>
                <c:pt idx="14">
                  <c:v>14000</c:v>
                </c:pt>
                <c:pt idx="15">
                  <c:v>15000</c:v>
                </c:pt>
                <c:pt idx="16">
                  <c:v>16000</c:v>
                </c:pt>
                <c:pt idx="17">
                  <c:v>17000</c:v>
                </c:pt>
                <c:pt idx="18">
                  <c:v>18000</c:v>
                </c:pt>
                <c:pt idx="19">
                  <c:v>19000</c:v>
                </c:pt>
                <c:pt idx="20">
                  <c:v>20000</c:v>
                </c:pt>
              </c:numCache>
            </c:numRef>
          </c:xVal>
          <c:yVal>
            <c:numRef>
              <c:f>Omkostninger!$L$75:$L$95</c:f>
              <c:numCache>
                <c:ptCount val="21"/>
                <c:pt idx="0">
                  <c:v>1599.1339314784861</c:v>
                </c:pt>
                <c:pt idx="1">
                  <c:v>164.59672648118195</c:v>
                </c:pt>
                <c:pt idx="2">
                  <c:v>84.90021509244282</c:v>
                </c:pt>
                <c:pt idx="3">
                  <c:v>58.334711296196446</c:v>
                </c:pt>
                <c:pt idx="4">
                  <c:v>45.051959398073265</c:v>
                </c:pt>
                <c:pt idx="5">
                  <c:v>37.08230825919935</c:v>
                </c:pt>
                <c:pt idx="6">
                  <c:v>31.769207499950078</c:v>
                </c:pt>
                <c:pt idx="7">
                  <c:v>27.97413552905774</c:v>
                </c:pt>
                <c:pt idx="8">
                  <c:v>25.127831550888487</c:v>
                </c:pt>
                <c:pt idx="9">
                  <c:v>22.914039567867956</c:v>
                </c:pt>
                <c:pt idx="10">
                  <c:v>21.14300598145153</c:v>
                </c:pt>
                <c:pt idx="11">
                  <c:v>19.69397850165627</c:v>
                </c:pt>
                <c:pt idx="12">
                  <c:v>18.48645560182689</c:v>
                </c:pt>
                <c:pt idx="13">
                  <c:v>17.464705455817413</c:v>
                </c:pt>
                <c:pt idx="14">
                  <c:v>16.58891961638072</c:v>
                </c:pt>
                <c:pt idx="15">
                  <c:v>15.829905222202253</c:v>
                </c:pt>
                <c:pt idx="16">
                  <c:v>15.165767627296095</c:v>
                </c:pt>
                <c:pt idx="17">
                  <c:v>14.579763867084775</c:v>
                </c:pt>
                <c:pt idx="18">
                  <c:v>14.058871635785827</c:v>
                </c:pt>
                <c:pt idx="19">
                  <c:v>13.59281016567624</c:v>
                </c:pt>
                <c:pt idx="20">
                  <c:v>13.173354842577616</c:v>
                </c:pt>
              </c:numCache>
            </c:numRef>
          </c:yVal>
          <c:smooth val="1"/>
        </c:ser>
        <c:ser>
          <c:idx val="4"/>
          <c:order val="1"/>
          <c:tx>
            <c:strRef>
              <c:f>Omkostninger!$N$74</c:f>
              <c:strCache>
                <c:ptCount val="1"/>
                <c:pt idx="0">
                  <c:v>Slangeudlægning, omkostning med maskinstation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Omkostninger!$J$75:$J$95</c:f>
              <c:numCache>
                <c:ptCount val="21"/>
                <c:pt idx="0">
                  <c:v>100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  <c:pt idx="11">
                  <c:v>11000</c:v>
                </c:pt>
                <c:pt idx="12">
                  <c:v>12000</c:v>
                </c:pt>
                <c:pt idx="13">
                  <c:v>13000</c:v>
                </c:pt>
                <c:pt idx="14">
                  <c:v>14000</c:v>
                </c:pt>
                <c:pt idx="15">
                  <c:v>15000</c:v>
                </c:pt>
                <c:pt idx="16">
                  <c:v>16000</c:v>
                </c:pt>
                <c:pt idx="17">
                  <c:v>17000</c:v>
                </c:pt>
                <c:pt idx="18">
                  <c:v>18000</c:v>
                </c:pt>
                <c:pt idx="19">
                  <c:v>19000</c:v>
                </c:pt>
                <c:pt idx="20">
                  <c:v>20000</c:v>
                </c:pt>
              </c:numCache>
            </c:numRef>
          </c:xVal>
          <c:yVal>
            <c:numRef>
              <c:f>Omkostninger!$N$75:$N$95</c:f>
              <c:numCache>
                <c:ptCount val="21"/>
                <c:pt idx="0">
                  <c:v>11.5</c:v>
                </c:pt>
                <c:pt idx="1">
                  <c:v>11.5</c:v>
                </c:pt>
                <c:pt idx="2">
                  <c:v>11.5</c:v>
                </c:pt>
                <c:pt idx="3">
                  <c:v>11.5</c:v>
                </c:pt>
                <c:pt idx="4">
                  <c:v>11.5</c:v>
                </c:pt>
                <c:pt idx="5">
                  <c:v>11.5</c:v>
                </c:pt>
                <c:pt idx="6">
                  <c:v>11.5</c:v>
                </c:pt>
                <c:pt idx="7">
                  <c:v>11.5</c:v>
                </c:pt>
                <c:pt idx="8">
                  <c:v>11.5</c:v>
                </c:pt>
                <c:pt idx="9">
                  <c:v>11.5</c:v>
                </c:pt>
                <c:pt idx="10">
                  <c:v>11.5</c:v>
                </c:pt>
                <c:pt idx="11">
                  <c:v>11.5</c:v>
                </c:pt>
                <c:pt idx="12">
                  <c:v>11.5</c:v>
                </c:pt>
                <c:pt idx="13">
                  <c:v>11.5</c:v>
                </c:pt>
                <c:pt idx="14">
                  <c:v>11.5</c:v>
                </c:pt>
                <c:pt idx="15">
                  <c:v>11.5</c:v>
                </c:pt>
                <c:pt idx="16">
                  <c:v>11.5</c:v>
                </c:pt>
                <c:pt idx="17">
                  <c:v>11.5</c:v>
                </c:pt>
                <c:pt idx="18">
                  <c:v>11.5</c:v>
                </c:pt>
                <c:pt idx="19">
                  <c:v>11.5</c:v>
                </c:pt>
                <c:pt idx="20">
                  <c:v>11.5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Omkostninger!$M$74</c:f>
              <c:strCache>
                <c:ptCount val="1"/>
                <c:pt idx="0">
                  <c:v>Omkostning ved aktuel årlig mængde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Omkostninger!$J$96</c:f>
              <c:numCache>
                <c:ptCount val="1"/>
                <c:pt idx="0">
                  <c:v>4250</c:v>
                </c:pt>
              </c:numCache>
            </c:numRef>
          </c:xVal>
          <c:yVal>
            <c:numRef>
              <c:f>Omkostninger!$M$96</c:f>
              <c:numCache>
                <c:ptCount val="1"/>
                <c:pt idx="0">
                  <c:v>42.707944357227994</c:v>
                </c:pt>
              </c:numCache>
            </c:numRef>
          </c:yVal>
          <c:smooth val="0"/>
        </c:ser>
        <c:ser>
          <c:idx val="2"/>
          <c:order val="3"/>
          <c:tx>
            <c:v>Ligevægtsmængde</c:v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Omkostninger!$J$97:$J$98</c:f>
              <c:numCache>
                <c:ptCount val="2"/>
                <c:pt idx="0">
                  <c:v>25315.3624411289</c:v>
                </c:pt>
                <c:pt idx="1">
                  <c:v>25315.3624411289</c:v>
                </c:pt>
              </c:numCache>
            </c:numRef>
          </c:xVal>
          <c:yVal>
            <c:numRef>
              <c:f>Omkostninger!$O$98:$O$99</c:f>
              <c:numCache>
                <c:ptCount val="2"/>
                <c:pt idx="0">
                  <c:v>0</c:v>
                </c:pt>
                <c:pt idx="1">
                  <c:v>11.5</c:v>
                </c:pt>
              </c:numCache>
            </c:numRef>
          </c:yVal>
          <c:smooth val="0"/>
        </c:ser>
        <c:axId val="4912373"/>
        <c:axId val="34548014"/>
      </c:scatterChart>
      <c:valAx>
        <c:axId val="4912373"/>
        <c:scaling>
          <c:orientation val="minMax"/>
          <c:max val="1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Ton pr. år</a:t>
                </a:r>
              </a:p>
            </c:rich>
          </c:tx>
          <c:layout>
            <c:manualLayout>
              <c:xMode val="factor"/>
              <c:yMode val="factor"/>
              <c:x val="0.001"/>
              <c:y val="0.10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548014"/>
        <c:crosses val="autoZero"/>
        <c:crossBetween val="midCat"/>
        <c:dispUnits/>
        <c:majorUnit val="2000"/>
      </c:valAx>
      <c:valAx>
        <c:axId val="34548014"/>
        <c:scaling>
          <c:orientation val="minMax"/>
          <c:max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Kr. pr. ton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12373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055"/>
          <c:y val="0.814"/>
          <c:w val="0.96825"/>
          <c:h val="0.17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3.emf" /><Relationship Id="rId3" Type="http://schemas.openxmlformats.org/officeDocument/2006/relationships/image" Target="../media/image34.emf" /><Relationship Id="rId4" Type="http://schemas.openxmlformats.org/officeDocument/2006/relationships/image" Target="../media/image15.emf" /><Relationship Id="rId5" Type="http://schemas.openxmlformats.org/officeDocument/2006/relationships/image" Target="../media/image18.emf" /><Relationship Id="rId6" Type="http://schemas.openxmlformats.org/officeDocument/2006/relationships/image" Target="../media/image25.emf" /><Relationship Id="rId7" Type="http://schemas.openxmlformats.org/officeDocument/2006/relationships/image" Target="../media/image28.emf" /><Relationship Id="rId8" Type="http://schemas.openxmlformats.org/officeDocument/2006/relationships/image" Target="../media/image26.emf" /><Relationship Id="rId9" Type="http://schemas.openxmlformats.org/officeDocument/2006/relationships/image" Target="../media/image6.emf" /><Relationship Id="rId10" Type="http://schemas.openxmlformats.org/officeDocument/2006/relationships/image" Target="../media/image10.emf" /><Relationship Id="rId11" Type="http://schemas.openxmlformats.org/officeDocument/2006/relationships/image" Target="../media/image22.emf" /><Relationship Id="rId12" Type="http://schemas.openxmlformats.org/officeDocument/2006/relationships/image" Target="../media/image7.emf" /><Relationship Id="rId13" Type="http://schemas.openxmlformats.org/officeDocument/2006/relationships/image" Target="../media/image1.emf" /><Relationship Id="rId14" Type="http://schemas.openxmlformats.org/officeDocument/2006/relationships/image" Target="../media/image35.emf" /><Relationship Id="rId15" Type="http://schemas.openxmlformats.org/officeDocument/2006/relationships/image" Target="../media/image17.emf" /><Relationship Id="rId16" Type="http://schemas.openxmlformats.org/officeDocument/2006/relationships/image" Target="../media/image16.emf" /><Relationship Id="rId17" Type="http://schemas.openxmlformats.org/officeDocument/2006/relationships/image" Target="../media/image31.emf" /><Relationship Id="rId18" Type="http://schemas.openxmlformats.org/officeDocument/2006/relationships/image" Target="../media/image20.emf" /><Relationship Id="rId19" Type="http://schemas.openxmlformats.org/officeDocument/2006/relationships/image" Target="../media/image4.emf" /><Relationship Id="rId20" Type="http://schemas.openxmlformats.org/officeDocument/2006/relationships/image" Target="../media/image12.emf" /><Relationship Id="rId21" Type="http://schemas.openxmlformats.org/officeDocument/2006/relationships/image" Target="../media/image19.emf" /><Relationship Id="rId22" Type="http://schemas.openxmlformats.org/officeDocument/2006/relationships/image" Target="../media/image14.emf" /><Relationship Id="rId23" Type="http://schemas.openxmlformats.org/officeDocument/2006/relationships/image" Target="../media/image8.emf" /><Relationship Id="rId24" Type="http://schemas.openxmlformats.org/officeDocument/2006/relationships/image" Target="../media/image33.emf" /><Relationship Id="rId25" Type="http://schemas.openxmlformats.org/officeDocument/2006/relationships/image" Target="../media/image36.emf" /><Relationship Id="rId26" Type="http://schemas.openxmlformats.org/officeDocument/2006/relationships/image" Target="../media/image9.emf" /><Relationship Id="rId27" Type="http://schemas.openxmlformats.org/officeDocument/2006/relationships/image" Target="../media/image2.emf" /><Relationship Id="rId28" Type="http://schemas.openxmlformats.org/officeDocument/2006/relationships/image" Target="../media/image39.emf" /><Relationship Id="rId29" Type="http://schemas.openxmlformats.org/officeDocument/2006/relationships/image" Target="../media/image21.emf" /><Relationship Id="rId30" Type="http://schemas.openxmlformats.org/officeDocument/2006/relationships/image" Target="../media/image38.emf" /><Relationship Id="rId31" Type="http://schemas.openxmlformats.org/officeDocument/2006/relationships/image" Target="../media/image13.emf" /><Relationship Id="rId32" Type="http://schemas.openxmlformats.org/officeDocument/2006/relationships/image" Target="../media/image3.emf" /><Relationship Id="rId33" Type="http://schemas.openxmlformats.org/officeDocument/2006/relationships/image" Target="../media/image29.emf" /><Relationship Id="rId34" Type="http://schemas.openxmlformats.org/officeDocument/2006/relationships/image" Target="../media/image24.emf" /><Relationship Id="rId35" Type="http://schemas.openxmlformats.org/officeDocument/2006/relationships/image" Target="../media/image1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7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7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30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142875</xdr:colOff>
      <xdr:row>2</xdr:row>
      <xdr:rowOff>342900</xdr:rowOff>
    </xdr:from>
    <xdr:to>
      <xdr:col>17</xdr:col>
      <xdr:colOff>885825</xdr:colOff>
      <xdr:row>32</xdr:row>
      <xdr:rowOff>190500</xdr:rowOff>
    </xdr:to>
    <xdr:graphicFrame>
      <xdr:nvGraphicFramePr>
        <xdr:cNvPr id="1" name="Chart 1"/>
        <xdr:cNvGraphicFramePr/>
      </xdr:nvGraphicFramePr>
      <xdr:xfrm>
        <a:off x="7115175" y="723900"/>
        <a:ext cx="5743575" cy="4924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800100</xdr:colOff>
      <xdr:row>4</xdr:row>
      <xdr:rowOff>19050</xdr:rowOff>
    </xdr:from>
    <xdr:to>
      <xdr:col>9</xdr:col>
      <xdr:colOff>457200</xdr:colOff>
      <xdr:row>4</xdr:row>
      <xdr:rowOff>161925</xdr:rowOff>
    </xdr:to>
    <xdr:pic>
      <xdr:nvPicPr>
        <xdr:cNvPr id="2" name="ScrollBar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19600" y="1733550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10</xdr:row>
      <xdr:rowOff>28575</xdr:rowOff>
    </xdr:from>
    <xdr:to>
      <xdr:col>9</xdr:col>
      <xdr:colOff>457200</xdr:colOff>
      <xdr:row>10</xdr:row>
      <xdr:rowOff>171450</xdr:rowOff>
    </xdr:to>
    <xdr:pic>
      <xdr:nvPicPr>
        <xdr:cNvPr id="3" name="ScrollBar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419600" y="2609850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6</xdr:row>
      <xdr:rowOff>28575</xdr:rowOff>
    </xdr:from>
    <xdr:to>
      <xdr:col>9</xdr:col>
      <xdr:colOff>457200</xdr:colOff>
      <xdr:row>6</xdr:row>
      <xdr:rowOff>171450</xdr:rowOff>
    </xdr:to>
    <xdr:pic>
      <xdr:nvPicPr>
        <xdr:cNvPr id="4" name="ScrollBar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19600" y="2019300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16</xdr:row>
      <xdr:rowOff>28575</xdr:rowOff>
    </xdr:from>
    <xdr:to>
      <xdr:col>9</xdr:col>
      <xdr:colOff>457200</xdr:colOff>
      <xdr:row>16</xdr:row>
      <xdr:rowOff>171450</xdr:rowOff>
    </xdr:to>
    <xdr:pic>
      <xdr:nvPicPr>
        <xdr:cNvPr id="5" name="ScrollBar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419600" y="3162300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20</xdr:row>
      <xdr:rowOff>28575</xdr:rowOff>
    </xdr:from>
    <xdr:to>
      <xdr:col>9</xdr:col>
      <xdr:colOff>457200</xdr:colOff>
      <xdr:row>20</xdr:row>
      <xdr:rowOff>180975</xdr:rowOff>
    </xdr:to>
    <xdr:pic>
      <xdr:nvPicPr>
        <xdr:cNvPr id="6" name="ScrollBar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419600" y="3714750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22</xdr:row>
      <xdr:rowOff>28575</xdr:rowOff>
    </xdr:from>
    <xdr:to>
      <xdr:col>9</xdr:col>
      <xdr:colOff>457200</xdr:colOff>
      <xdr:row>22</xdr:row>
      <xdr:rowOff>180975</xdr:rowOff>
    </xdr:to>
    <xdr:pic>
      <xdr:nvPicPr>
        <xdr:cNvPr id="7" name="ScrollBar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419600" y="3990975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18</xdr:row>
      <xdr:rowOff>28575</xdr:rowOff>
    </xdr:from>
    <xdr:to>
      <xdr:col>9</xdr:col>
      <xdr:colOff>457200</xdr:colOff>
      <xdr:row>18</xdr:row>
      <xdr:rowOff>171450</xdr:rowOff>
    </xdr:to>
    <xdr:pic>
      <xdr:nvPicPr>
        <xdr:cNvPr id="8" name="ScrollBar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419600" y="3438525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24</xdr:row>
      <xdr:rowOff>38100</xdr:rowOff>
    </xdr:from>
    <xdr:to>
      <xdr:col>9</xdr:col>
      <xdr:colOff>457200</xdr:colOff>
      <xdr:row>24</xdr:row>
      <xdr:rowOff>190500</xdr:rowOff>
    </xdr:to>
    <xdr:pic>
      <xdr:nvPicPr>
        <xdr:cNvPr id="9" name="ScrollBar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419600" y="4276725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26</xdr:row>
      <xdr:rowOff>57150</xdr:rowOff>
    </xdr:from>
    <xdr:to>
      <xdr:col>9</xdr:col>
      <xdr:colOff>457200</xdr:colOff>
      <xdr:row>27</xdr:row>
      <xdr:rowOff>19050</xdr:rowOff>
    </xdr:to>
    <xdr:pic>
      <xdr:nvPicPr>
        <xdr:cNvPr id="10" name="ScrollBar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419600" y="4572000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28</xdr:row>
      <xdr:rowOff>57150</xdr:rowOff>
    </xdr:from>
    <xdr:to>
      <xdr:col>9</xdr:col>
      <xdr:colOff>457200</xdr:colOff>
      <xdr:row>29</xdr:row>
      <xdr:rowOff>19050</xdr:rowOff>
    </xdr:to>
    <xdr:pic>
      <xdr:nvPicPr>
        <xdr:cNvPr id="11" name="ScrollBar13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419600" y="4848225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3</xdr:row>
      <xdr:rowOff>276225</xdr:rowOff>
    </xdr:from>
    <xdr:to>
      <xdr:col>10</xdr:col>
      <xdr:colOff>981075</xdr:colOff>
      <xdr:row>5</xdr:row>
      <xdr:rowOff>47625</xdr:rowOff>
    </xdr:to>
    <xdr:pic>
      <xdr:nvPicPr>
        <xdr:cNvPr id="12" name="Nulstil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943600" y="1666875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5</xdr:row>
      <xdr:rowOff>47625</xdr:rowOff>
    </xdr:from>
    <xdr:to>
      <xdr:col>10</xdr:col>
      <xdr:colOff>981075</xdr:colOff>
      <xdr:row>7</xdr:row>
      <xdr:rowOff>57150</xdr:rowOff>
    </xdr:to>
    <xdr:pic>
      <xdr:nvPicPr>
        <xdr:cNvPr id="13" name="Standard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943600" y="1952625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1190625</xdr:colOff>
      <xdr:row>24</xdr:row>
      <xdr:rowOff>0</xdr:rowOff>
    </xdr:from>
    <xdr:to>
      <xdr:col>6</xdr:col>
      <xdr:colOff>257175</xdr:colOff>
      <xdr:row>26</xdr:row>
      <xdr:rowOff>66675</xdr:rowOff>
    </xdr:to>
    <xdr:pic>
      <xdr:nvPicPr>
        <xdr:cNvPr id="14" name="CommandButton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190625" y="4238625"/>
          <a:ext cx="17145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9</xdr:row>
      <xdr:rowOff>57150</xdr:rowOff>
    </xdr:from>
    <xdr:to>
      <xdr:col>10</xdr:col>
      <xdr:colOff>981075</xdr:colOff>
      <xdr:row>11</xdr:row>
      <xdr:rowOff>28575</xdr:rowOff>
    </xdr:to>
    <xdr:pic>
      <xdr:nvPicPr>
        <xdr:cNvPr id="15" name="CommandButton2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5943600" y="251460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504825</xdr:colOff>
      <xdr:row>2</xdr:row>
      <xdr:rowOff>438150</xdr:rowOff>
    </xdr:from>
    <xdr:to>
      <xdr:col>10</xdr:col>
      <xdr:colOff>723900</xdr:colOff>
      <xdr:row>2</xdr:row>
      <xdr:rowOff>819150</xdr:rowOff>
    </xdr:to>
    <xdr:pic>
      <xdr:nvPicPr>
        <xdr:cNvPr id="16" name="CommandButton3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5057775" y="819150"/>
          <a:ext cx="15811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15</xdr:row>
      <xdr:rowOff>38100</xdr:rowOff>
    </xdr:from>
    <xdr:to>
      <xdr:col>10</xdr:col>
      <xdr:colOff>981075</xdr:colOff>
      <xdr:row>17</xdr:row>
      <xdr:rowOff>47625</xdr:rowOff>
    </xdr:to>
    <xdr:pic>
      <xdr:nvPicPr>
        <xdr:cNvPr id="17" name="CommandButton4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5943600" y="308610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17</xdr:row>
      <xdr:rowOff>47625</xdr:rowOff>
    </xdr:from>
    <xdr:to>
      <xdr:col>10</xdr:col>
      <xdr:colOff>981075</xdr:colOff>
      <xdr:row>19</xdr:row>
      <xdr:rowOff>57150</xdr:rowOff>
    </xdr:to>
    <xdr:pic>
      <xdr:nvPicPr>
        <xdr:cNvPr id="18" name="CommandButton5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5943600" y="337185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19</xdr:row>
      <xdr:rowOff>47625</xdr:rowOff>
    </xdr:from>
    <xdr:to>
      <xdr:col>10</xdr:col>
      <xdr:colOff>981075</xdr:colOff>
      <xdr:row>21</xdr:row>
      <xdr:rowOff>57150</xdr:rowOff>
    </xdr:to>
    <xdr:pic>
      <xdr:nvPicPr>
        <xdr:cNvPr id="19" name="CommandButton6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5943600" y="3648075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21</xdr:row>
      <xdr:rowOff>47625</xdr:rowOff>
    </xdr:from>
    <xdr:to>
      <xdr:col>10</xdr:col>
      <xdr:colOff>981075</xdr:colOff>
      <xdr:row>23</xdr:row>
      <xdr:rowOff>57150</xdr:rowOff>
    </xdr:to>
    <xdr:pic>
      <xdr:nvPicPr>
        <xdr:cNvPr id="20" name="CommandButton7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5943600" y="392430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23</xdr:row>
      <xdr:rowOff>47625</xdr:rowOff>
    </xdr:from>
    <xdr:to>
      <xdr:col>10</xdr:col>
      <xdr:colOff>981075</xdr:colOff>
      <xdr:row>25</xdr:row>
      <xdr:rowOff>57150</xdr:rowOff>
    </xdr:to>
    <xdr:pic>
      <xdr:nvPicPr>
        <xdr:cNvPr id="21" name="CommandButton8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5943600" y="4200525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25</xdr:row>
      <xdr:rowOff>47625</xdr:rowOff>
    </xdr:from>
    <xdr:to>
      <xdr:col>10</xdr:col>
      <xdr:colOff>981075</xdr:colOff>
      <xdr:row>27</xdr:row>
      <xdr:rowOff>57150</xdr:rowOff>
    </xdr:to>
    <xdr:pic>
      <xdr:nvPicPr>
        <xdr:cNvPr id="22" name="CommandButton9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5943600" y="447675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27</xdr:row>
      <xdr:rowOff>47625</xdr:rowOff>
    </xdr:from>
    <xdr:to>
      <xdr:col>10</xdr:col>
      <xdr:colOff>981075</xdr:colOff>
      <xdr:row>29</xdr:row>
      <xdr:rowOff>66675</xdr:rowOff>
    </xdr:to>
    <xdr:pic>
      <xdr:nvPicPr>
        <xdr:cNvPr id="23" name="CommandButton10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5943600" y="4752975"/>
          <a:ext cx="9525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152400</xdr:colOff>
      <xdr:row>2</xdr:row>
      <xdr:rowOff>19050</xdr:rowOff>
    </xdr:from>
    <xdr:to>
      <xdr:col>5</xdr:col>
      <xdr:colOff>2562225</xdr:colOff>
      <xdr:row>2</xdr:row>
      <xdr:rowOff>409575</xdr:rowOff>
    </xdr:to>
    <xdr:pic>
      <xdr:nvPicPr>
        <xdr:cNvPr id="24" name="OptionButton1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152400" y="400050"/>
          <a:ext cx="24098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152400</xdr:colOff>
      <xdr:row>2</xdr:row>
      <xdr:rowOff>400050</xdr:rowOff>
    </xdr:from>
    <xdr:to>
      <xdr:col>5</xdr:col>
      <xdr:colOff>2562225</xdr:colOff>
      <xdr:row>2</xdr:row>
      <xdr:rowOff>790575</xdr:rowOff>
    </xdr:to>
    <xdr:pic>
      <xdr:nvPicPr>
        <xdr:cNvPr id="25" name="OptionButton2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52400" y="781050"/>
          <a:ext cx="24098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152400</xdr:colOff>
      <xdr:row>2</xdr:row>
      <xdr:rowOff>790575</xdr:rowOff>
    </xdr:from>
    <xdr:to>
      <xdr:col>5</xdr:col>
      <xdr:colOff>2562225</xdr:colOff>
      <xdr:row>3</xdr:row>
      <xdr:rowOff>171450</xdr:rowOff>
    </xdr:to>
    <xdr:pic>
      <xdr:nvPicPr>
        <xdr:cNvPr id="26" name="OptionButton3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152400" y="1171575"/>
          <a:ext cx="24098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30</xdr:row>
      <xdr:rowOff>57150</xdr:rowOff>
    </xdr:from>
    <xdr:to>
      <xdr:col>9</xdr:col>
      <xdr:colOff>457200</xdr:colOff>
      <xdr:row>30</xdr:row>
      <xdr:rowOff>209550</xdr:rowOff>
    </xdr:to>
    <xdr:pic>
      <xdr:nvPicPr>
        <xdr:cNvPr id="27" name="ScrollBar10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4419600" y="5124450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29</xdr:row>
      <xdr:rowOff>66675</xdr:rowOff>
    </xdr:from>
    <xdr:to>
      <xdr:col>10</xdr:col>
      <xdr:colOff>981075</xdr:colOff>
      <xdr:row>31</xdr:row>
      <xdr:rowOff>57150</xdr:rowOff>
    </xdr:to>
    <xdr:pic>
      <xdr:nvPicPr>
        <xdr:cNvPr id="28" name="CommandButton11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5943600" y="504825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8</xdr:row>
      <xdr:rowOff>28575</xdr:rowOff>
    </xdr:from>
    <xdr:to>
      <xdr:col>9</xdr:col>
      <xdr:colOff>457200</xdr:colOff>
      <xdr:row>8</xdr:row>
      <xdr:rowOff>171450</xdr:rowOff>
    </xdr:to>
    <xdr:pic>
      <xdr:nvPicPr>
        <xdr:cNvPr id="29" name="ScrollBar11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4419600" y="2295525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12</xdr:row>
      <xdr:rowOff>28575</xdr:rowOff>
    </xdr:from>
    <xdr:to>
      <xdr:col>9</xdr:col>
      <xdr:colOff>457200</xdr:colOff>
      <xdr:row>12</xdr:row>
      <xdr:rowOff>171450</xdr:rowOff>
    </xdr:to>
    <xdr:pic>
      <xdr:nvPicPr>
        <xdr:cNvPr id="30" name="ScrollBar12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4419600" y="2886075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7</xdr:row>
      <xdr:rowOff>47625</xdr:rowOff>
    </xdr:from>
    <xdr:to>
      <xdr:col>10</xdr:col>
      <xdr:colOff>981075</xdr:colOff>
      <xdr:row>9</xdr:row>
      <xdr:rowOff>57150</xdr:rowOff>
    </xdr:to>
    <xdr:pic>
      <xdr:nvPicPr>
        <xdr:cNvPr id="31" name="CommandButton12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5943600" y="222885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11</xdr:row>
      <xdr:rowOff>28575</xdr:rowOff>
    </xdr:from>
    <xdr:to>
      <xdr:col>10</xdr:col>
      <xdr:colOff>981075</xdr:colOff>
      <xdr:row>15</xdr:row>
      <xdr:rowOff>38100</xdr:rowOff>
    </xdr:to>
    <xdr:pic>
      <xdr:nvPicPr>
        <xdr:cNvPr id="32" name="CommandButton13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5943600" y="280035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857250</xdr:colOff>
      <xdr:row>34</xdr:row>
      <xdr:rowOff>152400</xdr:rowOff>
    </xdr:from>
    <xdr:to>
      <xdr:col>13</xdr:col>
      <xdr:colOff>962025</xdr:colOff>
      <xdr:row>36</xdr:row>
      <xdr:rowOff>123825</xdr:rowOff>
    </xdr:to>
    <xdr:pic>
      <xdr:nvPicPr>
        <xdr:cNvPr id="33" name="CommandButton14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7829550" y="6067425"/>
          <a:ext cx="18573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123825</xdr:colOff>
      <xdr:row>34</xdr:row>
      <xdr:rowOff>152400</xdr:rowOff>
    </xdr:from>
    <xdr:to>
      <xdr:col>16</xdr:col>
      <xdr:colOff>600075</xdr:colOff>
      <xdr:row>36</xdr:row>
      <xdr:rowOff>123825</xdr:rowOff>
    </xdr:to>
    <xdr:pic>
      <xdr:nvPicPr>
        <xdr:cNvPr id="34" name="CommandButton15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9839325" y="6067425"/>
          <a:ext cx="18573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2</xdr:row>
      <xdr:rowOff>447675</xdr:rowOff>
    </xdr:from>
    <xdr:to>
      <xdr:col>8</xdr:col>
      <xdr:colOff>219075</xdr:colOff>
      <xdr:row>2</xdr:row>
      <xdr:rowOff>828675</xdr:rowOff>
    </xdr:to>
    <xdr:pic>
      <xdr:nvPicPr>
        <xdr:cNvPr id="35" name="CommandButton16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3190875" y="828675"/>
          <a:ext cx="15811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590550</xdr:colOff>
      <xdr:row>16</xdr:row>
      <xdr:rowOff>123825</xdr:rowOff>
    </xdr:from>
    <xdr:to>
      <xdr:col>8</xdr:col>
      <xdr:colOff>495300</xdr:colOff>
      <xdr:row>18</xdr:row>
      <xdr:rowOff>85725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2867025"/>
          <a:ext cx="11239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485775</xdr:colOff>
      <xdr:row>18</xdr:row>
      <xdr:rowOff>0</xdr:rowOff>
    </xdr:from>
    <xdr:to>
      <xdr:col>2</xdr:col>
      <xdr:colOff>866775</xdr:colOff>
      <xdr:row>19</xdr:row>
      <xdr:rowOff>95250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05150" y="3467100"/>
          <a:ext cx="14001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523875</xdr:colOff>
      <xdr:row>30</xdr:row>
      <xdr:rowOff>0</xdr:rowOff>
    </xdr:from>
    <xdr:to>
      <xdr:col>5</xdr:col>
      <xdr:colOff>1066800</xdr:colOff>
      <xdr:row>54</xdr:row>
      <xdr:rowOff>142875</xdr:rowOff>
    </xdr:to>
    <xdr:graphicFrame>
      <xdr:nvGraphicFramePr>
        <xdr:cNvPr id="1" name="Chart 1"/>
        <xdr:cNvGraphicFramePr/>
      </xdr:nvGraphicFramePr>
      <xdr:xfrm>
        <a:off x="523875" y="5114925"/>
        <a:ext cx="5191125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142875</xdr:colOff>
      <xdr:row>56</xdr:row>
      <xdr:rowOff>152400</xdr:rowOff>
    </xdr:from>
    <xdr:to>
      <xdr:col>0</xdr:col>
      <xdr:colOff>2028825</xdr:colOff>
      <xdr:row>60</xdr:row>
      <xdr:rowOff>9525</xdr:rowOff>
    </xdr:to>
    <xdr:pic>
      <xdr:nvPicPr>
        <xdr:cNvPr id="2" name="Picture 5" descr="LC_1_RG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9477375"/>
          <a:ext cx="18859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3">
    <pageSetUpPr fitToPage="1"/>
  </sheetPr>
  <dimension ref="A1:S100"/>
  <sheetViews>
    <sheetView showRowColHeaders="0" tabSelected="1" showOutlineSymbols="0" zoomScale="75" zoomScaleNormal="75" zoomScalePageLayoutView="0" workbookViewId="0" topLeftCell="F1">
      <selection activeCell="G31" sqref="G31"/>
    </sheetView>
  </sheetViews>
  <sheetFormatPr defaultColWidth="9.140625" defaultRowHeight="12.75"/>
  <cols>
    <col min="1" max="1" width="0" style="1" hidden="1" customWidth="1"/>
    <col min="2" max="3" width="15.140625" style="1" hidden="1" customWidth="1"/>
    <col min="4" max="5" width="0" style="1" hidden="1" customWidth="1"/>
    <col min="6" max="6" width="39.7109375" style="1" customWidth="1"/>
    <col min="7" max="7" width="14.57421875" style="1" customWidth="1"/>
    <col min="8" max="8" width="14.00390625" style="1" customWidth="1"/>
    <col min="9" max="9" width="9.140625" style="1" customWidth="1"/>
    <col min="10" max="10" width="11.28125" style="2" customWidth="1"/>
    <col min="11" max="11" width="15.8515625" style="3" customWidth="1"/>
    <col min="12" max="13" width="13.140625" style="1" customWidth="1"/>
    <col min="14" max="14" width="14.8515625" style="1" customWidth="1"/>
    <col min="15" max="15" width="9.140625" style="1" customWidth="1"/>
    <col min="16" max="16" width="11.57421875" style="1" bestFit="1" customWidth="1"/>
    <col min="17" max="17" width="13.140625" style="1" customWidth="1"/>
    <col min="18" max="18" width="13.57421875" style="1" customWidth="1"/>
    <col min="19" max="19" width="20.00390625" style="1" customWidth="1"/>
    <col min="20" max="16384" width="9.140625" style="1" customWidth="1"/>
  </cols>
  <sheetData>
    <row r="1" ht="6.75" customHeight="1">
      <c r="L1" s="4"/>
    </row>
    <row r="2" spans="6:19" ht="23.25">
      <c r="F2" s="5" t="s">
        <v>7</v>
      </c>
      <c r="L2" s="111"/>
      <c r="M2" s="6"/>
      <c r="N2" s="121"/>
      <c r="O2" s="122"/>
      <c r="P2" s="135"/>
      <c r="Q2" s="135"/>
      <c r="S2" s="7"/>
    </row>
    <row r="3" spans="12:19" ht="79.5" customHeight="1">
      <c r="L3" s="8"/>
      <c r="M3" s="9"/>
      <c r="N3" s="15"/>
      <c r="O3" s="15"/>
      <c r="P3" s="15"/>
      <c r="Q3" s="16"/>
      <c r="R3" s="7"/>
      <c r="S3" s="7"/>
    </row>
    <row r="4" ht="25.5" customHeight="1">
      <c r="L4" s="8"/>
    </row>
    <row r="5" spans="6:14" ht="15" customHeight="1">
      <c r="F5" s="7" t="s">
        <v>65</v>
      </c>
      <c r="G5" s="34">
        <v>1400000</v>
      </c>
      <c r="H5" s="7" t="s">
        <v>59</v>
      </c>
      <c r="L5" s="34">
        <v>1400000</v>
      </c>
      <c r="M5" s="34">
        <f>Standardtal!O5</f>
        <v>1400000</v>
      </c>
      <c r="N5" s="35"/>
    </row>
    <row r="6" spans="6:14" ht="6.75" customHeight="1">
      <c r="F6" s="7"/>
      <c r="G6" s="113"/>
      <c r="H6" s="7"/>
      <c r="L6" s="34"/>
      <c r="M6" s="35"/>
      <c r="N6" s="35"/>
    </row>
    <row r="7" spans="6:14" ht="15" customHeight="1">
      <c r="F7" s="7" t="s">
        <v>64</v>
      </c>
      <c r="G7" s="110">
        <v>5</v>
      </c>
      <c r="H7" s="7" t="s">
        <v>63</v>
      </c>
      <c r="L7" s="110">
        <v>5</v>
      </c>
      <c r="M7" s="110">
        <f>Standardtal!O6</f>
        <v>5</v>
      </c>
      <c r="N7" s="35"/>
    </row>
    <row r="8" spans="6:14" ht="6.75" customHeight="1">
      <c r="F8" s="7"/>
      <c r="G8" s="114"/>
      <c r="H8" s="7"/>
      <c r="L8" s="110"/>
      <c r="M8" s="110"/>
      <c r="N8" s="35"/>
    </row>
    <row r="9" spans="6:14" ht="15" customHeight="1">
      <c r="F9" s="7" t="s">
        <v>101</v>
      </c>
      <c r="G9" s="110">
        <v>0</v>
      </c>
      <c r="H9" s="7" t="s">
        <v>63</v>
      </c>
      <c r="L9" s="110">
        <v>0</v>
      </c>
      <c r="M9" s="110">
        <f>Standardtal!O7</f>
        <v>0</v>
      </c>
      <c r="N9" s="35"/>
    </row>
    <row r="10" spans="6:14" ht="9.75" customHeight="1">
      <c r="F10" s="7"/>
      <c r="G10" s="115"/>
      <c r="H10" s="7"/>
      <c r="L10" s="34"/>
      <c r="M10" s="35"/>
      <c r="N10" s="35"/>
    </row>
    <row r="11" spans="6:14" ht="15" customHeight="1">
      <c r="F11" s="7" t="s">
        <v>77</v>
      </c>
      <c r="G11" s="34">
        <v>15</v>
      </c>
      <c r="H11" s="7" t="s">
        <v>57</v>
      </c>
      <c r="L11" s="34">
        <v>15</v>
      </c>
      <c r="M11" s="35">
        <f>Standardtal!O8</f>
        <v>15</v>
      </c>
      <c r="N11" s="35"/>
    </row>
    <row r="12" spans="6:14" ht="6.75" customHeight="1">
      <c r="F12" s="7"/>
      <c r="G12" s="114"/>
      <c r="H12" s="7"/>
      <c r="L12" s="34"/>
      <c r="M12" s="35"/>
      <c r="N12" s="35"/>
    </row>
    <row r="13" spans="6:14" ht="15" customHeight="1">
      <c r="F13" s="7" t="s">
        <v>61</v>
      </c>
      <c r="G13" s="34">
        <v>10</v>
      </c>
      <c r="H13" s="7" t="s">
        <v>2</v>
      </c>
      <c r="L13" s="34">
        <v>10</v>
      </c>
      <c r="M13" s="35">
        <f>Standardtal!O9</f>
        <v>10</v>
      </c>
      <c r="N13" s="35"/>
    </row>
    <row r="14" spans="6:14" ht="15" customHeight="1" hidden="1">
      <c r="F14" s="7"/>
      <c r="G14" s="35"/>
      <c r="H14" s="7"/>
      <c r="L14" s="34"/>
      <c r="M14" s="35"/>
      <c r="N14" s="35"/>
    </row>
    <row r="15" spans="6:14" ht="15" customHeight="1" hidden="1">
      <c r="F15" s="36" t="e">
        <f>(100*($G$7/100)/((1-(1+($G$7/100))^-($G$11))))*F5/100</f>
        <v>#VALUE!</v>
      </c>
      <c r="G15" s="36">
        <f>IF(G7&lt;&gt;G9,G5*(1-(1-(G11/100))^G13*(1+(((1+(G7/100))/(1+(G9/100)))-1))^-G13)*((((1+(G7/100))/(1+(G9/100)))-1)/(1-(1+(((1+(G7/100))/(1+(G9/100)))-1))^-G13)),G5*(1-(1-(G11/100))^G13*(1+(((1+(G7/100))/(1+(G9/100)))-1))^-G13)*1/G13)</f>
        <v>159393.02277747824</v>
      </c>
      <c r="H15" s="7" t="s">
        <v>3</v>
      </c>
      <c r="L15" s="34"/>
      <c r="M15" s="35"/>
      <c r="N15" s="35"/>
    </row>
    <row r="16" spans="6:14" ht="6.75" customHeight="1">
      <c r="F16" s="7"/>
      <c r="G16" s="116"/>
      <c r="H16" s="7"/>
      <c r="L16" s="34"/>
      <c r="M16" s="35"/>
      <c r="N16" s="35"/>
    </row>
    <row r="17" spans="6:14" ht="15" customHeight="1">
      <c r="F17" s="7" t="s">
        <v>55</v>
      </c>
      <c r="G17" s="34">
        <v>10</v>
      </c>
      <c r="H17" s="7" t="s">
        <v>66</v>
      </c>
      <c r="L17" s="34">
        <v>10</v>
      </c>
      <c r="M17" s="35">
        <f>Standardtal!O10</f>
        <v>10</v>
      </c>
      <c r="N17" s="35"/>
    </row>
    <row r="18" spans="6:14" ht="6.75" customHeight="1">
      <c r="F18" s="7"/>
      <c r="G18" s="113"/>
      <c r="H18" s="7"/>
      <c r="L18" s="34"/>
      <c r="M18" s="35"/>
      <c r="N18" s="35"/>
    </row>
    <row r="19" spans="6:14" ht="15" customHeight="1">
      <c r="F19" s="7" t="s">
        <v>62</v>
      </c>
      <c r="G19" s="34">
        <v>116</v>
      </c>
      <c r="H19" s="7" t="s">
        <v>67</v>
      </c>
      <c r="L19" s="34">
        <v>116</v>
      </c>
      <c r="M19" s="35">
        <f>Standardtal!O11</f>
        <v>116</v>
      </c>
      <c r="N19" s="35"/>
    </row>
    <row r="20" spans="6:14" ht="6.75" customHeight="1">
      <c r="F20" s="7"/>
      <c r="G20" s="113"/>
      <c r="H20" s="7"/>
      <c r="L20" s="34"/>
      <c r="M20" s="35"/>
      <c r="N20" s="35"/>
    </row>
    <row r="21" spans="6:14" ht="15" customHeight="1">
      <c r="F21" s="7" t="s">
        <v>78</v>
      </c>
      <c r="G21" s="35">
        <v>228.5</v>
      </c>
      <c r="H21" s="7" t="s">
        <v>67</v>
      </c>
      <c r="L21" s="35">
        <v>228.5</v>
      </c>
      <c r="M21" s="35">
        <f>Standardtal!O12</f>
        <v>228.5</v>
      </c>
      <c r="N21" s="35"/>
    </row>
    <row r="22" spans="6:14" ht="6.75" customHeight="1">
      <c r="F22" s="7"/>
      <c r="G22" s="113"/>
      <c r="H22" s="7"/>
      <c r="L22" s="34"/>
      <c r="M22" s="35"/>
      <c r="N22" s="35"/>
    </row>
    <row r="23" spans="6:14" ht="15" customHeight="1">
      <c r="F23" s="7" t="s">
        <v>8</v>
      </c>
      <c r="G23" s="34">
        <v>25</v>
      </c>
      <c r="H23" s="7" t="s">
        <v>68</v>
      </c>
      <c r="L23" s="34">
        <v>25</v>
      </c>
      <c r="M23" s="35">
        <f>Standardtal!O13</f>
        <v>25</v>
      </c>
      <c r="N23" s="35"/>
    </row>
    <row r="24" spans="6:14" ht="6.75" customHeight="1">
      <c r="F24" s="7"/>
      <c r="G24" s="113"/>
      <c r="H24" s="7"/>
      <c r="L24" s="34"/>
      <c r="M24" s="35"/>
      <c r="N24" s="35"/>
    </row>
    <row r="25" spans="6:19" ht="15" customHeight="1">
      <c r="F25" s="7" t="s">
        <v>5</v>
      </c>
      <c r="G25" s="75">
        <f>$L$25/10</f>
        <v>2.7</v>
      </c>
      <c r="H25" s="7" t="s">
        <v>70</v>
      </c>
      <c r="L25" s="34">
        <v>27</v>
      </c>
      <c r="M25" s="35">
        <f>Standardtal!O14*10</f>
        <v>27</v>
      </c>
      <c r="N25" s="75">
        <f>$L$25/10</f>
        <v>2.7</v>
      </c>
      <c r="O25" s="10"/>
      <c r="P25" s="10"/>
      <c r="Q25" s="10"/>
      <c r="R25" s="10"/>
      <c r="S25" s="10"/>
    </row>
    <row r="26" spans="6:19" ht="6.75" customHeight="1">
      <c r="F26" s="7"/>
      <c r="G26" s="113"/>
      <c r="H26" s="7"/>
      <c r="L26" s="34"/>
      <c r="M26" s="35"/>
      <c r="N26" s="35"/>
      <c r="O26" s="10"/>
      <c r="P26" s="10"/>
      <c r="Q26" s="10"/>
      <c r="R26" s="10"/>
      <c r="S26" s="10"/>
    </row>
    <row r="27" spans="6:19" ht="15" customHeight="1">
      <c r="F27" s="7" t="s">
        <v>6</v>
      </c>
      <c r="G27" s="34">
        <v>35</v>
      </c>
      <c r="H27" s="7" t="s">
        <v>69</v>
      </c>
      <c r="L27" s="34">
        <v>35</v>
      </c>
      <c r="M27" s="35">
        <f>Standardtal!O15</f>
        <v>35</v>
      </c>
      <c r="N27" s="35"/>
      <c r="O27" s="10"/>
      <c r="P27" s="10"/>
      <c r="Q27" s="10"/>
      <c r="R27" s="10"/>
      <c r="S27" s="10"/>
    </row>
    <row r="28" spans="6:19" ht="6.75" customHeight="1">
      <c r="F28" s="7"/>
      <c r="G28" s="113"/>
      <c r="H28" s="7"/>
      <c r="L28" s="34"/>
      <c r="M28" s="35"/>
      <c r="N28" s="35"/>
      <c r="O28" s="10"/>
      <c r="P28" s="10"/>
      <c r="Q28" s="10"/>
      <c r="R28" s="10"/>
      <c r="S28" s="10"/>
    </row>
    <row r="29" spans="6:19" ht="15" customHeight="1">
      <c r="F29" s="7" t="s">
        <v>12</v>
      </c>
      <c r="G29" s="34">
        <v>4250</v>
      </c>
      <c r="H29" s="7" t="s">
        <v>26</v>
      </c>
      <c r="L29" s="34">
        <v>4250</v>
      </c>
      <c r="M29" s="34">
        <f>Standardtal!O16</f>
        <v>4250</v>
      </c>
      <c r="N29" s="35"/>
      <c r="O29" s="10"/>
      <c r="P29" s="10"/>
      <c r="Q29" s="10"/>
      <c r="R29" s="10"/>
      <c r="S29" s="10"/>
    </row>
    <row r="30" spans="6:19" ht="6.75" customHeight="1">
      <c r="F30" s="7"/>
      <c r="G30" s="113"/>
      <c r="H30" s="7"/>
      <c r="L30" s="73"/>
      <c r="M30" s="35"/>
      <c r="N30" s="35"/>
      <c r="O30" s="10"/>
      <c r="P30" s="10"/>
      <c r="Q30" s="10"/>
      <c r="R30" s="10"/>
      <c r="S30" s="10"/>
    </row>
    <row r="31" spans="6:19" ht="16.5" customHeight="1">
      <c r="F31" s="7" t="s">
        <v>56</v>
      </c>
      <c r="G31" s="76">
        <f>$L$31/100</f>
        <v>11.5</v>
      </c>
      <c r="H31" s="7" t="s">
        <v>25</v>
      </c>
      <c r="L31" s="74">
        <v>1150</v>
      </c>
      <c r="M31" s="70">
        <f>Standardtal!O17*100</f>
        <v>1150</v>
      </c>
      <c r="N31" s="76">
        <f>$L$31/100</f>
        <v>11.5</v>
      </c>
      <c r="O31" s="10"/>
      <c r="P31" s="10"/>
      <c r="Q31" s="10"/>
      <c r="R31" s="10"/>
      <c r="S31" s="10"/>
    </row>
    <row r="32" spans="6:19" ht="14.25" customHeight="1">
      <c r="F32" s="7"/>
      <c r="G32" s="7"/>
      <c r="H32" s="7"/>
      <c r="L32" s="68"/>
      <c r="M32" s="67"/>
      <c r="N32" s="67"/>
      <c r="O32" s="10"/>
      <c r="P32" s="10"/>
      <c r="Q32" s="10"/>
      <c r="R32" s="10"/>
      <c r="S32" s="10"/>
    </row>
    <row r="33" spans="6:19" ht="18" customHeight="1">
      <c r="F33" s="11" t="s">
        <v>28</v>
      </c>
      <c r="G33" s="12"/>
      <c r="H33" s="11"/>
      <c r="I33" s="11"/>
      <c r="J33" s="13"/>
      <c r="K33" s="20"/>
      <c r="L33" s="21"/>
      <c r="M33" s="22"/>
      <c r="N33" s="22"/>
      <c r="O33" s="22"/>
      <c r="P33" s="22"/>
      <c r="Q33" s="22"/>
      <c r="R33" s="22"/>
      <c r="S33" s="22"/>
    </row>
    <row r="34" spans="6:19" ht="18" customHeight="1">
      <c r="F34" s="6" t="s">
        <v>79</v>
      </c>
      <c r="H34" s="6"/>
      <c r="I34" s="7"/>
      <c r="J34" s="14">
        <f>G29/(G23*G25)</f>
        <v>62.96296296296296</v>
      </c>
      <c r="K34" s="6" t="s">
        <v>13</v>
      </c>
      <c r="L34" s="10"/>
      <c r="N34" s="10"/>
      <c r="O34" s="10"/>
      <c r="P34" s="10"/>
      <c r="Q34" s="10"/>
      <c r="R34" s="10"/>
      <c r="S34" s="10"/>
    </row>
    <row r="35" spans="6:19" ht="18" customHeight="1">
      <c r="F35" s="6" t="s">
        <v>24</v>
      </c>
      <c r="H35" s="6"/>
      <c r="I35" s="7"/>
      <c r="J35" s="19">
        <f>($G$15/$G$29)+$G$17/100+(($G$19+$G$21)/($G$23*$G$25))</f>
        <v>42.707944357227994</v>
      </c>
      <c r="K35" s="6" t="s">
        <v>25</v>
      </c>
      <c r="L35" s="10"/>
      <c r="N35" s="10"/>
      <c r="O35" s="10"/>
      <c r="P35" s="10"/>
      <c r="Q35" s="10"/>
      <c r="R35" s="10"/>
      <c r="S35" s="10"/>
    </row>
    <row r="36" spans="6:19" ht="18" customHeight="1">
      <c r="F36" s="6" t="s">
        <v>81</v>
      </c>
      <c r="H36" s="6"/>
      <c r="I36" s="7"/>
      <c r="J36" s="14">
        <f>1/(((G31/G15)-((G17/100)+(($G$19+$G$21)/($G$23*$G$25)))/G15))</f>
        <v>25315.3624411289</v>
      </c>
      <c r="K36" s="6" t="s">
        <v>26</v>
      </c>
      <c r="L36" s="10"/>
      <c r="S36" s="10"/>
    </row>
    <row r="37" spans="1:19" s="2" customFormat="1" ht="18.75" customHeight="1">
      <c r="A37" s="69" t="s">
        <v>21</v>
      </c>
      <c r="B37" s="69" t="b">
        <v>1</v>
      </c>
      <c r="C37" s="69">
        <f>Standardtal!B17</f>
        <v>11.5</v>
      </c>
      <c r="F37" s="15" t="s">
        <v>80</v>
      </c>
      <c r="H37" s="16"/>
      <c r="I37" s="16"/>
      <c r="J37" s="77">
        <f>G15</f>
        <v>159393.02277747824</v>
      </c>
      <c r="K37" s="15" t="s">
        <v>59</v>
      </c>
      <c r="L37" s="18"/>
      <c r="N37" s="18"/>
      <c r="O37" s="18"/>
      <c r="P37" s="18"/>
      <c r="Q37" s="18"/>
      <c r="R37" s="18"/>
      <c r="S37" s="18"/>
    </row>
    <row r="38" spans="1:19" s="2" customFormat="1" ht="18" customHeight="1">
      <c r="A38" s="69" t="s">
        <v>20</v>
      </c>
      <c r="B38" s="69" t="b">
        <v>0</v>
      </c>
      <c r="C38" s="71">
        <f>Standardtal!C17</f>
        <v>16.5</v>
      </c>
      <c r="F38" s="136">
        <f>G13</f>
        <v>10</v>
      </c>
      <c r="G38" s="136"/>
      <c r="H38" s="16"/>
      <c r="J38" s="77">
        <f>G5*(1-(G11/100))^G13</f>
        <v>275624.1660770116</v>
      </c>
      <c r="K38" s="15" t="s">
        <v>59</v>
      </c>
      <c r="L38" s="18"/>
      <c r="M38" s="18"/>
      <c r="N38" s="18"/>
      <c r="O38" s="18"/>
      <c r="P38" s="18"/>
      <c r="Q38" s="18"/>
      <c r="R38" s="18"/>
      <c r="S38" s="18"/>
    </row>
    <row r="39" spans="1:19" s="2" customFormat="1" ht="18.75" customHeight="1">
      <c r="A39" s="69" t="s">
        <v>19</v>
      </c>
      <c r="B39" s="69" t="b">
        <v>0</v>
      </c>
      <c r="C39" s="69">
        <f>Standardtal!D17</f>
        <v>18.5</v>
      </c>
      <c r="F39" s="15" t="s">
        <v>102</v>
      </c>
      <c r="G39" s="124"/>
      <c r="H39" s="15"/>
      <c r="L39" s="18"/>
      <c r="M39" s="18"/>
      <c r="N39" s="18"/>
      <c r="O39" s="18"/>
      <c r="P39" s="18"/>
      <c r="Q39" s="18"/>
      <c r="R39" s="18"/>
      <c r="S39" s="18"/>
    </row>
    <row r="40" spans="1:19" s="2" customFormat="1" ht="19.5" customHeight="1">
      <c r="A40" s="72"/>
      <c r="B40" s="69"/>
      <c r="C40" s="69"/>
      <c r="L40" s="18"/>
      <c r="M40" s="16"/>
      <c r="N40" s="18"/>
      <c r="O40" s="18"/>
      <c r="P40" s="18"/>
      <c r="Q40" s="18"/>
      <c r="R40" s="18"/>
      <c r="S40" s="18">
        <f>(K31-K15)/((K17/100)+(($G$19+$G$21)/($G$23*$G$25)))</f>
        <v>0</v>
      </c>
    </row>
    <row r="41" spans="1:13" s="2" customFormat="1" ht="18.75" customHeight="1">
      <c r="A41" s="69"/>
      <c r="B41" s="69">
        <v>2</v>
      </c>
      <c r="C41" s="69"/>
      <c r="M41" s="16"/>
    </row>
    <row r="42" spans="1:13" s="2" customFormat="1" ht="18.75" customHeight="1">
      <c r="A42" s="18"/>
      <c r="B42" s="18"/>
      <c r="C42" s="18"/>
      <c r="M42" s="16"/>
    </row>
    <row r="43" spans="1:13" s="2" customFormat="1" ht="18.75" customHeight="1">
      <c r="A43" s="18"/>
      <c r="B43" s="18"/>
      <c r="C43" s="18"/>
      <c r="M43" s="16"/>
    </row>
    <row r="44" spans="1:3" s="2" customFormat="1" ht="18.75" customHeight="1">
      <c r="A44" s="18"/>
      <c r="B44" s="18"/>
      <c r="C44" s="18"/>
    </row>
    <row r="45" spans="1:3" s="2" customFormat="1" ht="18.75" customHeight="1">
      <c r="A45" s="18"/>
      <c r="B45" s="18"/>
      <c r="C45" s="18"/>
    </row>
    <row r="46" spans="1:3" s="2" customFormat="1" ht="18.75" customHeight="1">
      <c r="A46" s="18"/>
      <c r="B46" s="18"/>
      <c r="C46" s="18"/>
    </row>
    <row r="47" spans="1:3" s="2" customFormat="1" ht="18.75" customHeight="1">
      <c r="A47" s="18"/>
      <c r="B47" s="18"/>
      <c r="C47" s="18"/>
    </row>
    <row r="48" spans="1:3" s="2" customFormat="1" ht="18.75" customHeight="1">
      <c r="A48" s="18"/>
      <c r="B48" s="18"/>
      <c r="C48" s="18"/>
    </row>
    <row r="49" spans="1:3" s="2" customFormat="1" ht="18.75" customHeight="1">
      <c r="A49" s="18"/>
      <c r="B49" s="18"/>
      <c r="C49" s="18"/>
    </row>
    <row r="50" spans="1:3" s="2" customFormat="1" ht="18.75" customHeight="1">
      <c r="A50" s="18"/>
      <c r="B50" s="18"/>
      <c r="C50" s="18"/>
    </row>
    <row r="51" spans="1:3" s="2" customFormat="1" ht="18.75" customHeight="1">
      <c r="A51" s="18"/>
      <c r="B51" s="18"/>
      <c r="C51" s="18"/>
    </row>
    <row r="52" spans="1:3" s="2" customFormat="1" ht="18.75" customHeight="1">
      <c r="A52" s="18"/>
      <c r="B52" s="18"/>
      <c r="C52" s="18"/>
    </row>
    <row r="53" s="2" customFormat="1" ht="13.5" customHeight="1"/>
    <row r="54" s="2" customFormat="1" ht="13.5" customHeight="1"/>
    <row r="55" s="2" customFormat="1" ht="13.5" customHeight="1"/>
    <row r="56" s="2" customFormat="1" ht="13.5" customHeight="1"/>
    <row r="57" s="2" customFormat="1" ht="13.5" customHeight="1"/>
    <row r="58" s="2" customFormat="1" ht="13.5" customHeight="1"/>
    <row r="59" s="2" customFormat="1" ht="13.5" customHeight="1"/>
    <row r="60" s="2" customFormat="1" ht="13.5" customHeight="1"/>
    <row r="61" s="2" customFormat="1" ht="13.5" customHeight="1"/>
    <row r="62" s="2" customFormat="1" ht="13.5" customHeight="1">
      <c r="M62" s="29" t="s">
        <v>27</v>
      </c>
    </row>
    <row r="63" s="2" customFormat="1" ht="18" customHeight="1"/>
    <row r="64" s="2" customFormat="1" ht="17.25" customHeight="1">
      <c r="J64" s="30"/>
    </row>
    <row r="65" spans="1:14" s="2" customFormat="1" ht="17.25" customHeight="1">
      <c r="A65" s="18"/>
      <c r="B65" s="18"/>
      <c r="C65" s="18"/>
      <c r="D65" s="18"/>
      <c r="E65" s="18"/>
      <c r="F65" s="18"/>
      <c r="G65" s="18"/>
      <c r="H65" s="18"/>
      <c r="N65" s="31"/>
    </row>
    <row r="66" spans="1:14" s="2" customFormat="1" ht="17.25" customHeight="1">
      <c r="A66" s="18"/>
      <c r="B66" s="18"/>
      <c r="C66" s="18"/>
      <c r="D66" s="18"/>
      <c r="E66" s="18"/>
      <c r="F66" s="18"/>
      <c r="G66" s="18"/>
      <c r="N66" s="31"/>
    </row>
    <row r="67" spans="1:7" s="2" customFormat="1" ht="17.25" customHeight="1">
      <c r="A67" s="18"/>
      <c r="B67" s="18"/>
      <c r="C67" s="18"/>
      <c r="D67" s="18"/>
      <c r="E67" s="18"/>
      <c r="F67" s="18"/>
      <c r="G67" s="18"/>
    </row>
    <row r="68" spans="1:11" s="2" customFormat="1" ht="17.25" customHeight="1">
      <c r="A68" s="18"/>
      <c r="B68" s="18"/>
      <c r="C68" s="18"/>
      <c r="D68" s="18"/>
      <c r="E68" s="18"/>
      <c r="F68" s="18"/>
      <c r="G68" s="18"/>
      <c r="J68" s="2">
        <f>IF($B$83=1,D66,IF($B$83=2,D67,IF($B$83=3,D68,IF($B$83=4,D69))))</f>
        <v>0</v>
      </c>
      <c r="K68" s="2">
        <f>IF($B$83=1,E66,IF($B$83=2,E67,IF($B$83=3,E68,IF($B$83=4,E69))))</f>
        <v>0</v>
      </c>
    </row>
    <row r="69" spans="1:7" s="2" customFormat="1" ht="17.25" customHeight="1">
      <c r="A69" s="18"/>
      <c r="B69" s="18"/>
      <c r="C69" s="18"/>
      <c r="D69" s="18"/>
      <c r="E69" s="18"/>
      <c r="F69" s="18"/>
      <c r="G69" s="18"/>
    </row>
    <row r="70" spans="1:7" s="2" customFormat="1" ht="14.25">
      <c r="A70" s="18"/>
      <c r="B70" s="18"/>
      <c r="C70" s="18"/>
      <c r="D70" s="18"/>
      <c r="E70" s="18"/>
      <c r="F70" s="18"/>
      <c r="G70" s="18"/>
    </row>
    <row r="71" spans="1:11" s="2" customFormat="1" ht="14.25">
      <c r="A71" s="18"/>
      <c r="B71" s="18"/>
      <c r="C71" s="18"/>
      <c r="D71" s="18"/>
      <c r="E71" s="18"/>
      <c r="F71" s="18"/>
      <c r="G71" s="18"/>
      <c r="J71" s="2" t="s">
        <v>9</v>
      </c>
      <c r="K71" s="30">
        <f>100*($G$7/100)/((1-(1+($G$7/100))^-($G$11)))</f>
        <v>9.634228760924437</v>
      </c>
    </row>
    <row r="72" spans="1:7" s="2" customFormat="1" ht="14.25">
      <c r="A72" s="18"/>
      <c r="B72" s="18"/>
      <c r="C72" s="18"/>
      <c r="D72" s="18"/>
      <c r="E72" s="18"/>
      <c r="F72" s="18"/>
      <c r="G72" s="18"/>
    </row>
    <row r="73" spans="1:12" s="2" customFormat="1" ht="14.25">
      <c r="A73" s="18"/>
      <c r="B73" s="18"/>
      <c r="C73" s="18"/>
      <c r="D73" s="18"/>
      <c r="E73" s="18"/>
      <c r="F73" s="18"/>
      <c r="G73" s="18"/>
      <c r="L73" s="2" t="b">
        <f>IF(B40=1,A33,IF(B40=2,A37,IF(B40=3,A39)))</f>
        <v>0</v>
      </c>
    </row>
    <row r="74" spans="10:14" s="2" customFormat="1" ht="12.75">
      <c r="J74" s="17" t="s">
        <v>4</v>
      </c>
      <c r="K74" s="17"/>
      <c r="L74" s="2" t="str">
        <f>IF($B$37=TRUE,"Slangeudlægning, omkostning med eget udstyr",IF($B$39=TRUE,"Græsmarksnedfældning, omkostning med eget udstyr",IF($B$38=TRUE,"Sortjordsnedfældning, omkostning med eget udstyr")))</f>
        <v>Slangeudlægning, omkostning med eget udstyr</v>
      </c>
      <c r="M74" s="2" t="s">
        <v>49</v>
      </c>
      <c r="N74" s="2" t="str">
        <f>IF($B$37=TRUE,"Slangeudlægning, omkostning med maskinstation",IF($B$39=TRUE,"Græsmarksnedfældning omkostning med maskinstation",IF($B$38=TRUE,"Sortjordsnedfældning, omkostning med maskinstation")))</f>
        <v>Slangeudlægning, omkostning med maskinstation</v>
      </c>
    </row>
    <row r="75" spans="10:14" s="2" customFormat="1" ht="12.75">
      <c r="J75" s="2">
        <v>100</v>
      </c>
      <c r="L75" s="32">
        <f>($G$15/J75)+$G$17/100+(($G$19+$G$21)/($G$23*$G$25))</f>
        <v>1599.1339314784861</v>
      </c>
      <c r="N75" s="30">
        <f>$G$31</f>
        <v>11.5</v>
      </c>
    </row>
    <row r="76" spans="10:14" s="2" customFormat="1" ht="12.75">
      <c r="J76" s="2">
        <v>1000</v>
      </c>
      <c r="L76" s="32">
        <f aca="true" t="shared" si="0" ref="L76:L94">($G$15/J76)+$G$17/100+(($G$19+$G$21)/($G$23*$G$25))</f>
        <v>164.59672648118195</v>
      </c>
      <c r="N76" s="30">
        <f aca="true" t="shared" si="1" ref="N76:N95">$G$31</f>
        <v>11.5</v>
      </c>
    </row>
    <row r="77" spans="10:14" s="2" customFormat="1" ht="12.75">
      <c r="J77" s="2">
        <v>2000</v>
      </c>
      <c r="L77" s="32">
        <f t="shared" si="0"/>
        <v>84.90021509244282</v>
      </c>
      <c r="N77" s="30">
        <f t="shared" si="1"/>
        <v>11.5</v>
      </c>
    </row>
    <row r="78" spans="10:14" s="2" customFormat="1" ht="12.75">
      <c r="J78" s="2">
        <v>3000</v>
      </c>
      <c r="L78" s="32">
        <f t="shared" si="0"/>
        <v>58.334711296196446</v>
      </c>
      <c r="N78" s="30">
        <f t="shared" si="1"/>
        <v>11.5</v>
      </c>
    </row>
    <row r="79" spans="10:14" s="2" customFormat="1" ht="12.75">
      <c r="J79" s="2">
        <v>4000</v>
      </c>
      <c r="L79" s="32">
        <f t="shared" si="0"/>
        <v>45.051959398073265</v>
      </c>
      <c r="N79" s="30">
        <f t="shared" si="1"/>
        <v>11.5</v>
      </c>
    </row>
    <row r="80" spans="10:14" s="2" customFormat="1" ht="12.75">
      <c r="J80" s="2">
        <v>5000</v>
      </c>
      <c r="L80" s="32">
        <f t="shared" si="0"/>
        <v>37.08230825919935</v>
      </c>
      <c r="N80" s="30">
        <f t="shared" si="1"/>
        <v>11.5</v>
      </c>
    </row>
    <row r="81" spans="10:14" s="2" customFormat="1" ht="12.75">
      <c r="J81" s="2">
        <v>6000</v>
      </c>
      <c r="L81" s="32">
        <f t="shared" si="0"/>
        <v>31.769207499950078</v>
      </c>
      <c r="N81" s="30">
        <f t="shared" si="1"/>
        <v>11.5</v>
      </c>
    </row>
    <row r="82" spans="10:14" s="2" customFormat="1" ht="12.75">
      <c r="J82" s="2">
        <v>7000</v>
      </c>
      <c r="L82" s="32">
        <f t="shared" si="0"/>
        <v>27.97413552905774</v>
      </c>
      <c r="N82" s="30">
        <f t="shared" si="1"/>
        <v>11.5</v>
      </c>
    </row>
    <row r="83" spans="2:14" s="2" customFormat="1" ht="12.75">
      <c r="B83" s="2">
        <v>1</v>
      </c>
      <c r="J83" s="2">
        <v>8000</v>
      </c>
      <c r="L83" s="32">
        <f t="shared" si="0"/>
        <v>25.127831550888487</v>
      </c>
      <c r="N83" s="30">
        <f t="shared" si="1"/>
        <v>11.5</v>
      </c>
    </row>
    <row r="84" spans="10:14" s="2" customFormat="1" ht="12.75">
      <c r="J84" s="2">
        <v>9000</v>
      </c>
      <c r="L84" s="32">
        <f t="shared" si="0"/>
        <v>22.914039567867956</v>
      </c>
      <c r="N84" s="30">
        <f t="shared" si="1"/>
        <v>11.5</v>
      </c>
    </row>
    <row r="85" spans="10:14" s="2" customFormat="1" ht="12.75">
      <c r="J85" s="2">
        <v>10000</v>
      </c>
      <c r="L85" s="32">
        <f>($G$15/J85)+$G$17/100+(($G$19+$G$21)/($G$23*$G$25))</f>
        <v>21.14300598145153</v>
      </c>
      <c r="N85" s="30">
        <f t="shared" si="1"/>
        <v>11.5</v>
      </c>
    </row>
    <row r="86" spans="10:14" s="2" customFormat="1" ht="12.75">
      <c r="J86" s="2">
        <v>11000</v>
      </c>
      <c r="L86" s="32">
        <f t="shared" si="0"/>
        <v>19.69397850165627</v>
      </c>
      <c r="N86" s="30">
        <f t="shared" si="1"/>
        <v>11.5</v>
      </c>
    </row>
    <row r="87" spans="10:14" s="2" customFormat="1" ht="12.75">
      <c r="J87" s="2">
        <v>12000</v>
      </c>
      <c r="L87" s="32">
        <f t="shared" si="0"/>
        <v>18.48645560182689</v>
      </c>
      <c r="N87" s="30">
        <f t="shared" si="1"/>
        <v>11.5</v>
      </c>
    </row>
    <row r="88" spans="10:14" s="2" customFormat="1" ht="12.75">
      <c r="J88" s="2">
        <v>13000</v>
      </c>
      <c r="L88" s="32">
        <f t="shared" si="0"/>
        <v>17.464705455817413</v>
      </c>
      <c r="N88" s="30">
        <f t="shared" si="1"/>
        <v>11.5</v>
      </c>
    </row>
    <row r="89" spans="10:14" s="2" customFormat="1" ht="12.75">
      <c r="J89" s="2">
        <v>14000</v>
      </c>
      <c r="L89" s="32">
        <f t="shared" si="0"/>
        <v>16.58891961638072</v>
      </c>
      <c r="N89" s="30">
        <f t="shared" si="1"/>
        <v>11.5</v>
      </c>
    </row>
    <row r="90" spans="10:14" s="2" customFormat="1" ht="12.75">
      <c r="J90" s="2">
        <v>15000</v>
      </c>
      <c r="L90" s="32">
        <f t="shared" si="0"/>
        <v>15.829905222202253</v>
      </c>
      <c r="N90" s="30">
        <f t="shared" si="1"/>
        <v>11.5</v>
      </c>
    </row>
    <row r="91" spans="10:14" s="2" customFormat="1" ht="12.75">
      <c r="J91" s="2">
        <v>16000</v>
      </c>
      <c r="L91" s="32">
        <f t="shared" si="0"/>
        <v>15.165767627296095</v>
      </c>
      <c r="N91" s="30">
        <f t="shared" si="1"/>
        <v>11.5</v>
      </c>
    </row>
    <row r="92" spans="10:14" s="2" customFormat="1" ht="12.75">
      <c r="J92" s="2">
        <v>17000</v>
      </c>
      <c r="L92" s="32">
        <f t="shared" si="0"/>
        <v>14.579763867084775</v>
      </c>
      <c r="N92" s="30">
        <f t="shared" si="1"/>
        <v>11.5</v>
      </c>
    </row>
    <row r="93" spans="10:14" s="2" customFormat="1" ht="12.75">
      <c r="J93" s="2">
        <v>18000</v>
      </c>
      <c r="L93" s="32">
        <f t="shared" si="0"/>
        <v>14.058871635785827</v>
      </c>
      <c r="N93" s="30">
        <f t="shared" si="1"/>
        <v>11.5</v>
      </c>
    </row>
    <row r="94" spans="10:14" s="2" customFormat="1" ht="12.75">
      <c r="J94" s="2">
        <v>19000</v>
      </c>
      <c r="L94" s="32">
        <f t="shared" si="0"/>
        <v>13.59281016567624</v>
      </c>
      <c r="N94" s="30">
        <f t="shared" si="1"/>
        <v>11.5</v>
      </c>
    </row>
    <row r="95" spans="10:14" s="2" customFormat="1" ht="12.75">
      <c r="J95" s="2">
        <v>20000</v>
      </c>
      <c r="L95" s="32">
        <f>($G$15/J95)+$G$17/100+(($G$19+$G$21)/($G$23*$G$25))</f>
        <v>13.173354842577616</v>
      </c>
      <c r="N95" s="30">
        <f t="shared" si="1"/>
        <v>11.5</v>
      </c>
    </row>
    <row r="96" spans="10:13" s="2" customFormat="1" ht="12.75">
      <c r="J96" s="2">
        <f>G29</f>
        <v>4250</v>
      </c>
      <c r="L96" s="32">
        <f>($G$15/$J$96)+$G$17/100+(($G$19+$G$21)/($G$23*$G$25))</f>
        <v>42.707944357227994</v>
      </c>
      <c r="M96" s="32">
        <f>($G$15/$J$96)+$G$17/100+(($G$19+$G$21)/($G$23*$G$25))</f>
        <v>42.707944357227994</v>
      </c>
    </row>
    <row r="97" spans="10:16" s="2" customFormat="1" ht="12.75">
      <c r="J97" s="105">
        <f>J36</f>
        <v>25315.3624411289</v>
      </c>
      <c r="L97" s="32">
        <f>($G$15/$J$96)+$G$17/100+(($G$19+$G$21)/($G$23*$G$25))</f>
        <v>42.707944357227994</v>
      </c>
      <c r="P97" s="33"/>
    </row>
    <row r="98" spans="10:15" s="2" customFormat="1" ht="12.75">
      <c r="J98" s="105">
        <f>J36</f>
        <v>25315.3624411289</v>
      </c>
      <c r="O98" s="2">
        <v>0</v>
      </c>
    </row>
    <row r="99" s="2" customFormat="1" ht="12.75">
      <c r="O99" s="30">
        <f>G31</f>
        <v>11.5</v>
      </c>
    </row>
    <row r="100" s="2" customFormat="1" ht="12.75">
      <c r="L100" s="32"/>
    </row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</sheetData>
  <sheetProtection password="CC7C" sheet="1" objects="1" scenarios="1"/>
  <mergeCells count="2">
    <mergeCell ref="P2:Q2"/>
    <mergeCell ref="F38:G38"/>
  </mergeCells>
  <printOptions/>
  <pageMargins left="0.75" right="0.75" top="1" bottom="1" header="0" footer="0"/>
  <pageSetup fitToHeight="1" fitToWidth="1" horizontalDpi="300" verticalDpi="300" orientation="landscape" paperSize="9" scale="50" r:id="rId4"/>
  <ignoredErrors>
    <ignoredError sqref="J37" unlockedFormula="1"/>
  </ignoredErrors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12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Ark13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Ark14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Ark15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Ark16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4"/>
  <dimension ref="A2:J20"/>
  <sheetViews>
    <sheetView showRowColHeaders="0" showOutlineSymbols="0" zoomScalePageLayoutView="0" workbookViewId="0" topLeftCell="A1">
      <selection activeCell="E18" sqref="E18"/>
    </sheetView>
  </sheetViews>
  <sheetFormatPr defaultColWidth="9.140625" defaultRowHeight="12.75"/>
  <cols>
    <col min="1" max="9" width="9.140625" style="1" customWidth="1"/>
    <col min="10" max="10" width="9.57421875" style="1" customWidth="1"/>
    <col min="11" max="16384" width="9.140625" style="1" customWidth="1"/>
  </cols>
  <sheetData>
    <row r="2" spans="1:2" ht="20.25">
      <c r="A2" s="23"/>
      <c r="B2" s="24" t="s">
        <v>29</v>
      </c>
    </row>
    <row r="3" spans="2:10" ht="12.75">
      <c r="B3" s="25" t="s">
        <v>18</v>
      </c>
      <c r="C3" s="137" t="s">
        <v>30</v>
      </c>
      <c r="D3" s="137"/>
      <c r="E3" s="137"/>
      <c r="F3" s="137"/>
      <c r="G3" s="137"/>
      <c r="H3" s="137"/>
      <c r="I3" s="137"/>
      <c r="J3" s="138"/>
    </row>
    <row r="4" spans="1:10" ht="15">
      <c r="A4" s="26"/>
      <c r="B4" s="27" t="s">
        <v>31</v>
      </c>
      <c r="C4" s="139" t="s">
        <v>21</v>
      </c>
      <c r="D4" s="137"/>
      <c r="E4" s="137"/>
      <c r="F4" s="138"/>
      <c r="G4" s="139" t="s">
        <v>32</v>
      </c>
      <c r="H4" s="137"/>
      <c r="I4" s="137"/>
      <c r="J4" s="138"/>
    </row>
    <row r="5" spans="2:10" ht="12.75">
      <c r="B5" s="27" t="s">
        <v>33</v>
      </c>
      <c r="C5" s="55" t="s">
        <v>34</v>
      </c>
      <c r="D5" s="57" t="s">
        <v>35</v>
      </c>
      <c r="E5" s="57" t="s">
        <v>36</v>
      </c>
      <c r="F5" s="53" t="s">
        <v>37</v>
      </c>
      <c r="G5" s="55" t="s">
        <v>34</v>
      </c>
      <c r="H5" s="57" t="s">
        <v>35</v>
      </c>
      <c r="I5" s="57" t="s">
        <v>36</v>
      </c>
      <c r="J5" s="53" t="s">
        <v>37</v>
      </c>
    </row>
    <row r="6" spans="2:10" ht="12.75">
      <c r="B6" s="59" t="s">
        <v>38</v>
      </c>
      <c r="C6" s="60">
        <v>3.5511</v>
      </c>
      <c r="D6" s="61">
        <v>3.58</v>
      </c>
      <c r="E6" s="61">
        <v>3.6045000000000003</v>
      </c>
      <c r="F6" s="62">
        <v>3.5964000000000005</v>
      </c>
      <c r="G6" s="60">
        <v>2.8063</v>
      </c>
      <c r="H6" s="61">
        <v>2.84</v>
      </c>
      <c r="I6" s="61">
        <v>2.8569</v>
      </c>
      <c r="J6" s="62">
        <v>2.8638</v>
      </c>
    </row>
    <row r="7" spans="2:10" ht="12.75">
      <c r="B7" s="63" t="s">
        <v>39</v>
      </c>
      <c r="C7" s="64">
        <v>3.1787000000000005</v>
      </c>
      <c r="D7" s="65">
        <v>3.18</v>
      </c>
      <c r="E7" s="65">
        <v>3.2306999999999997</v>
      </c>
      <c r="F7" s="66">
        <v>3.2301</v>
      </c>
      <c r="G7" s="64">
        <v>2.5669</v>
      </c>
      <c r="H7" s="65">
        <v>2.6</v>
      </c>
      <c r="I7" s="65">
        <v>2.6166</v>
      </c>
      <c r="J7" s="66">
        <v>2.6307</v>
      </c>
    </row>
    <row r="8" spans="2:10" ht="12.75">
      <c r="B8" s="63" t="s">
        <v>40</v>
      </c>
      <c r="C8" s="64">
        <v>2.8861</v>
      </c>
      <c r="D8" s="65">
        <v>2.9</v>
      </c>
      <c r="E8" s="65">
        <v>2.9103000000000003</v>
      </c>
      <c r="F8" s="66">
        <v>2.9304</v>
      </c>
      <c r="G8" s="64">
        <v>2.3674</v>
      </c>
      <c r="H8" s="65">
        <v>2.4</v>
      </c>
      <c r="I8" s="65">
        <v>2.4297</v>
      </c>
      <c r="J8" s="66">
        <v>2.4309</v>
      </c>
    </row>
    <row r="9" spans="2:10" ht="12.75">
      <c r="B9" s="63" t="s">
        <v>41</v>
      </c>
      <c r="C9" s="64">
        <v>2.6334</v>
      </c>
      <c r="D9" s="65">
        <v>2.66</v>
      </c>
      <c r="E9" s="65">
        <v>2.67</v>
      </c>
      <c r="F9" s="66">
        <v>2.664</v>
      </c>
      <c r="G9" s="64">
        <v>2.2078</v>
      </c>
      <c r="H9" s="65">
        <v>2.22</v>
      </c>
      <c r="I9" s="65">
        <v>2.2428</v>
      </c>
      <c r="J9" s="66">
        <v>2.2311</v>
      </c>
    </row>
    <row r="10" spans="2:10" ht="12.75">
      <c r="B10" s="117" t="s">
        <v>42</v>
      </c>
      <c r="C10" s="118">
        <v>2.4339000000000004</v>
      </c>
      <c r="D10" s="119">
        <v>2.44</v>
      </c>
      <c r="E10" s="119">
        <v>2.4564</v>
      </c>
      <c r="F10" s="120">
        <v>2.4642</v>
      </c>
      <c r="G10" s="118">
        <v>2.0615</v>
      </c>
      <c r="H10" s="119">
        <v>2.08</v>
      </c>
      <c r="I10" s="119">
        <v>2.0826000000000002</v>
      </c>
      <c r="J10" s="120">
        <v>2.0979</v>
      </c>
    </row>
    <row r="11" spans="2:10" ht="12.75">
      <c r="B11" s="63" t="s">
        <v>43</v>
      </c>
      <c r="C11" s="64">
        <v>2.2477</v>
      </c>
      <c r="D11" s="65">
        <v>2.26</v>
      </c>
      <c r="E11" s="65">
        <v>2.2695</v>
      </c>
      <c r="F11" s="66">
        <v>2.2644</v>
      </c>
      <c r="G11" s="64">
        <v>1.9285</v>
      </c>
      <c r="H11" s="65">
        <v>1.94</v>
      </c>
      <c r="I11" s="65">
        <v>1.9490999999999998</v>
      </c>
      <c r="J11" s="66">
        <v>1.9647</v>
      </c>
    </row>
    <row r="12" spans="2:10" ht="12.75">
      <c r="B12" s="63" t="s">
        <v>44</v>
      </c>
      <c r="C12" s="64">
        <v>2.1014000000000004</v>
      </c>
      <c r="D12" s="65">
        <v>2.12</v>
      </c>
      <c r="E12" s="65">
        <v>2.1093</v>
      </c>
      <c r="F12" s="66">
        <v>2.1312</v>
      </c>
      <c r="G12" s="64">
        <v>1.8088000000000002</v>
      </c>
      <c r="H12" s="65">
        <v>1.84</v>
      </c>
      <c r="I12" s="65">
        <v>1.8422999999999998</v>
      </c>
      <c r="J12" s="66">
        <v>1.8315000000000001</v>
      </c>
    </row>
    <row r="13" spans="2:10" ht="12.75">
      <c r="B13" s="63" t="s">
        <v>45</v>
      </c>
      <c r="C13" s="64">
        <v>1.8487</v>
      </c>
      <c r="D13" s="65">
        <v>1.98</v>
      </c>
      <c r="E13" s="65">
        <v>1.9758</v>
      </c>
      <c r="F13" s="66">
        <v>1.9647</v>
      </c>
      <c r="G13" s="64">
        <v>1.7157000000000002</v>
      </c>
      <c r="H13" s="65">
        <v>1.72</v>
      </c>
      <c r="I13" s="65">
        <v>1.7355</v>
      </c>
      <c r="J13" s="66">
        <v>1.7316</v>
      </c>
    </row>
    <row r="14" spans="2:10" ht="12.75">
      <c r="B14" s="54" t="s">
        <v>46</v>
      </c>
      <c r="C14" s="56">
        <v>1.8487</v>
      </c>
      <c r="D14" s="58">
        <v>1.86</v>
      </c>
      <c r="E14" s="58">
        <v>1.8689999999999998</v>
      </c>
      <c r="F14" s="28">
        <v>1.8648000000000002</v>
      </c>
      <c r="G14" s="56">
        <v>1.6226</v>
      </c>
      <c r="H14" s="58">
        <v>1.64</v>
      </c>
      <c r="I14" s="58">
        <v>1.6554</v>
      </c>
      <c r="J14" s="28">
        <v>1.6317</v>
      </c>
    </row>
    <row r="16" ht="15">
      <c r="B16" s="26" t="s">
        <v>14</v>
      </c>
    </row>
    <row r="17" spans="3:5" ht="12.75">
      <c r="C17" s="1" t="s">
        <v>15</v>
      </c>
      <c r="E17" s="1" t="s">
        <v>83</v>
      </c>
    </row>
    <row r="18" spans="3:5" ht="12.75">
      <c r="C18" s="1" t="s">
        <v>16</v>
      </c>
      <c r="E18" s="1" t="s">
        <v>84</v>
      </c>
    </row>
    <row r="19" spans="3:5" ht="12.75">
      <c r="C19" s="1" t="s">
        <v>17</v>
      </c>
      <c r="E19" s="1" t="s">
        <v>85</v>
      </c>
    </row>
    <row r="20" spans="3:5" ht="12.75">
      <c r="C20" s="1" t="s">
        <v>47</v>
      </c>
      <c r="E20" s="1" t="s">
        <v>48</v>
      </c>
    </row>
  </sheetData>
  <sheetProtection/>
  <mergeCells count="3">
    <mergeCell ref="C3:J3"/>
    <mergeCell ref="C4:F4"/>
    <mergeCell ref="G4:J4"/>
  </mergeCells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5">
    <pageSetUpPr fitToPage="1"/>
  </sheetPr>
  <dimension ref="A2:O45"/>
  <sheetViews>
    <sheetView showRowColHeaders="0" showOutlineSymbols="0" zoomScale="90" zoomScaleNormal="90" zoomScalePageLayoutView="0" workbookViewId="0" topLeftCell="A1">
      <selection activeCell="H3" sqref="H3"/>
    </sheetView>
  </sheetViews>
  <sheetFormatPr defaultColWidth="9.140625" defaultRowHeight="12.75"/>
  <cols>
    <col min="1" max="1" width="39.28125" style="1" customWidth="1"/>
    <col min="2" max="2" width="15.28125" style="1" customWidth="1"/>
    <col min="3" max="3" width="14.421875" style="1" customWidth="1"/>
    <col min="4" max="4" width="13.140625" style="1" customWidth="1"/>
    <col min="5" max="5" width="2.8515625" style="1" customWidth="1"/>
    <col min="6" max="6" width="10.8515625" style="1" customWidth="1"/>
    <col min="7" max="7" width="9.140625" style="1" customWidth="1"/>
    <col min="8" max="8" width="11.8515625" style="1" customWidth="1"/>
    <col min="9" max="9" width="10.57421875" style="1" customWidth="1"/>
    <col min="10" max="10" width="3.421875" style="1" customWidth="1"/>
    <col min="11" max="14" width="9.140625" style="1" customWidth="1"/>
    <col min="15" max="15" width="9.28125" style="1" bestFit="1" customWidth="1"/>
    <col min="16" max="16384" width="9.140625" style="1" customWidth="1"/>
  </cols>
  <sheetData>
    <row r="2" spans="1:9" ht="20.25">
      <c r="A2" s="52" t="s">
        <v>22</v>
      </c>
      <c r="B2" s="16"/>
      <c r="C2" s="16"/>
      <c r="D2" s="7"/>
      <c r="E2" s="7"/>
      <c r="F2" s="7"/>
      <c r="G2" s="7"/>
      <c r="H2" s="7"/>
      <c r="I2" s="7"/>
    </row>
    <row r="3" spans="1:9" ht="15.75">
      <c r="A3" s="15"/>
      <c r="B3" s="16"/>
      <c r="C3" s="16"/>
      <c r="D3" s="7"/>
      <c r="E3" s="7"/>
      <c r="F3" s="7"/>
      <c r="G3" s="7"/>
      <c r="H3" s="7"/>
      <c r="I3" s="7"/>
    </row>
    <row r="4" spans="1:10" ht="15.75">
      <c r="A4" s="38" t="s">
        <v>23</v>
      </c>
      <c r="B4" s="42" t="s">
        <v>52</v>
      </c>
      <c r="C4" s="39" t="s">
        <v>53</v>
      </c>
      <c r="D4" s="38" t="s">
        <v>54</v>
      </c>
      <c r="E4" s="43"/>
      <c r="F4" s="40"/>
      <c r="G4" s="40"/>
      <c r="H4" s="40"/>
      <c r="I4" s="40"/>
      <c r="J4" s="41"/>
    </row>
    <row r="5" spans="1:15" ht="15">
      <c r="A5" s="44" t="s">
        <v>0</v>
      </c>
      <c r="B5" s="78">
        <v>1400000</v>
      </c>
      <c r="C5" s="79">
        <v>1300000</v>
      </c>
      <c r="D5" s="80">
        <v>1500000</v>
      </c>
      <c r="E5" s="81"/>
      <c r="F5" s="45" t="s">
        <v>59</v>
      </c>
      <c r="G5" s="45"/>
      <c r="H5" s="46"/>
      <c r="I5" s="45"/>
      <c r="J5" s="47"/>
      <c r="O5" s="7">
        <f>IF(Omkostninger!$B$37=TRUE,Standardtal!B5,IF(Omkostninger!$B$38=TRUE,Standardtal!C5,IF(Omkostninger!$B$39=TRUE,Standardtal!D5)))</f>
        <v>1400000</v>
      </c>
    </row>
    <row r="6" spans="1:15" ht="15">
      <c r="A6" s="48" t="s">
        <v>1</v>
      </c>
      <c r="B6" s="89">
        <v>5</v>
      </c>
      <c r="C6" s="90">
        <v>5</v>
      </c>
      <c r="D6" s="91">
        <v>5</v>
      </c>
      <c r="E6" s="85"/>
      <c r="F6" s="49" t="s">
        <v>63</v>
      </c>
      <c r="G6" s="49"/>
      <c r="H6" s="50"/>
      <c r="I6" s="49"/>
      <c r="J6" s="51"/>
      <c r="O6" s="7">
        <f>IF(Omkostninger!$B$37=TRUE,Standardtal!B6,IF(Omkostninger!$B$38=TRUE,Standardtal!C6,IF(Omkostninger!$B$39=TRUE,Standardtal!D6)))</f>
        <v>5</v>
      </c>
    </row>
    <row r="7" spans="1:15" ht="15">
      <c r="A7" s="48" t="s">
        <v>58</v>
      </c>
      <c r="B7" s="89">
        <v>0</v>
      </c>
      <c r="C7" s="90">
        <v>0</v>
      </c>
      <c r="D7" s="91">
        <v>0</v>
      </c>
      <c r="E7" s="85"/>
      <c r="F7" s="49" t="s">
        <v>57</v>
      </c>
      <c r="G7" s="49"/>
      <c r="H7" s="50"/>
      <c r="I7" s="49"/>
      <c r="J7" s="51"/>
      <c r="O7" s="7">
        <f>IF(Omkostninger!$B$37=TRUE,Standardtal!B7,IF(Omkostninger!$B$38=TRUE,Standardtal!C7,IF(Omkostninger!$B$39=TRUE,Standardtal!D7)))</f>
        <v>0</v>
      </c>
    </row>
    <row r="8" spans="1:15" ht="15">
      <c r="A8" s="48" t="s">
        <v>75</v>
      </c>
      <c r="B8" s="82">
        <v>15</v>
      </c>
      <c r="C8" s="83">
        <v>15</v>
      </c>
      <c r="D8" s="84">
        <v>15</v>
      </c>
      <c r="E8" s="85"/>
      <c r="F8" s="49" t="s">
        <v>73</v>
      </c>
      <c r="G8" s="49"/>
      <c r="H8" s="50"/>
      <c r="I8" s="49"/>
      <c r="J8" s="51"/>
      <c r="O8" s="7">
        <f>IF(Omkostninger!$B$37=TRUE,Standardtal!B8,IF(Omkostninger!$B$38=TRUE,Standardtal!C8,IF(Omkostninger!$B$39=TRUE,Standardtal!D8)))</f>
        <v>15</v>
      </c>
    </row>
    <row r="9" spans="1:15" ht="15">
      <c r="A9" s="48" t="s">
        <v>74</v>
      </c>
      <c r="B9" s="82">
        <v>10</v>
      </c>
      <c r="C9" s="83">
        <v>10</v>
      </c>
      <c r="D9" s="84">
        <v>10</v>
      </c>
      <c r="E9" s="85"/>
      <c r="F9" s="49" t="s">
        <v>2</v>
      </c>
      <c r="G9" s="49"/>
      <c r="H9" s="50"/>
      <c r="I9" s="49"/>
      <c r="J9" s="51"/>
      <c r="O9" s="7">
        <f>IF(Omkostninger!$B$37=TRUE,Standardtal!B9,IF(Omkostninger!$B$38=TRUE,Standardtal!C9,IF(Omkostninger!$B$39=TRUE,Standardtal!D9)))</f>
        <v>10</v>
      </c>
    </row>
    <row r="10" spans="1:15" ht="15">
      <c r="A10" s="48" t="s">
        <v>71</v>
      </c>
      <c r="B10" s="86">
        <v>10</v>
      </c>
      <c r="C10" s="87">
        <v>15</v>
      </c>
      <c r="D10" s="88">
        <v>25</v>
      </c>
      <c r="E10" s="85"/>
      <c r="F10" s="49" t="s">
        <v>11</v>
      </c>
      <c r="G10" s="49"/>
      <c r="H10" s="50"/>
      <c r="I10" s="49"/>
      <c r="J10" s="51"/>
      <c r="O10" s="7">
        <f>IF(Omkostninger!$B$37=TRUE,Standardtal!B10,IF(Omkostninger!$B$38=TRUE,Standardtal!C10,IF(Omkostninger!$B$39=TRUE,Standardtal!D10)))</f>
        <v>10</v>
      </c>
    </row>
    <row r="11" spans="1:15" ht="15">
      <c r="A11" s="48" t="s">
        <v>62</v>
      </c>
      <c r="B11" s="82">
        <v>116</v>
      </c>
      <c r="C11" s="83">
        <v>116</v>
      </c>
      <c r="D11" s="84">
        <v>116</v>
      </c>
      <c r="E11" s="85"/>
      <c r="F11" s="49" t="s">
        <v>67</v>
      </c>
      <c r="G11" s="49"/>
      <c r="H11" s="50"/>
      <c r="I11" s="49"/>
      <c r="J11" s="51"/>
      <c r="O11" s="7">
        <f>IF(Omkostninger!$B$37=TRUE,Standardtal!B11,IF(Omkostninger!$B$38=TRUE,Standardtal!C11,IF(Omkostninger!$B$39=TRUE,Standardtal!D11)))</f>
        <v>116</v>
      </c>
    </row>
    <row r="12" spans="1:15" ht="15">
      <c r="A12" s="48" t="s">
        <v>72</v>
      </c>
      <c r="B12" s="82">
        <v>228.5</v>
      </c>
      <c r="C12" s="83">
        <v>269.3</v>
      </c>
      <c r="D12" s="84">
        <v>269.3</v>
      </c>
      <c r="E12" s="85"/>
      <c r="F12" s="49" t="s">
        <v>67</v>
      </c>
      <c r="G12" s="49"/>
      <c r="H12" s="50"/>
      <c r="I12" s="49"/>
      <c r="J12" s="51"/>
      <c r="O12" s="7">
        <f>IF(Omkostninger!$B$37=TRUE,Standardtal!B12,IF(Omkostninger!$B$38=TRUE,Standardtal!C12,IF(Omkostninger!$B$39=TRUE,Standardtal!D12)))</f>
        <v>228.5</v>
      </c>
    </row>
    <row r="13" spans="1:15" ht="13.5" customHeight="1">
      <c r="A13" s="48" t="s">
        <v>8</v>
      </c>
      <c r="B13" s="86">
        <v>25</v>
      </c>
      <c r="C13" s="87">
        <v>25</v>
      </c>
      <c r="D13" s="88">
        <v>25</v>
      </c>
      <c r="E13" s="85"/>
      <c r="F13" s="49" t="s">
        <v>68</v>
      </c>
      <c r="G13" s="49"/>
      <c r="H13" s="50"/>
      <c r="I13" s="49"/>
      <c r="J13" s="51"/>
      <c r="O13" s="7">
        <f>IF(Omkostninger!$B$37=TRUE,Standardtal!B13,IF(Omkostninger!$B$38=TRUE,Standardtal!C13,IF(Omkostninger!$B$39=TRUE,Standardtal!D13)))</f>
        <v>25</v>
      </c>
    </row>
    <row r="14" spans="1:15" ht="15">
      <c r="A14" s="48" t="s">
        <v>5</v>
      </c>
      <c r="B14" s="89">
        <v>2.7</v>
      </c>
      <c r="C14" s="90">
        <v>2.5</v>
      </c>
      <c r="D14" s="91">
        <v>2.5</v>
      </c>
      <c r="E14" s="85"/>
      <c r="F14" s="49" t="s">
        <v>70</v>
      </c>
      <c r="G14" s="49"/>
      <c r="H14" s="50"/>
      <c r="I14" s="49"/>
      <c r="J14" s="51"/>
      <c r="O14" s="7">
        <f>IF(Omkostninger!$B$37=TRUE,Standardtal!B14,IF(Omkostninger!$B$38=TRUE,Standardtal!C14,IF(Omkostninger!$B$39=TRUE,Standardtal!D14)))</f>
        <v>2.7</v>
      </c>
    </row>
    <row r="15" spans="1:15" ht="15">
      <c r="A15" s="48" t="s">
        <v>6</v>
      </c>
      <c r="B15" s="82">
        <v>35</v>
      </c>
      <c r="C15" s="83">
        <v>40</v>
      </c>
      <c r="D15" s="84">
        <v>25</v>
      </c>
      <c r="E15" s="85"/>
      <c r="F15" s="49" t="s">
        <v>69</v>
      </c>
      <c r="G15" s="49"/>
      <c r="H15" s="50"/>
      <c r="I15" s="49"/>
      <c r="J15" s="51"/>
      <c r="O15" s="7">
        <f>IF(Omkostninger!$B$37=TRUE,Standardtal!B15,IF(Omkostninger!$B$38=TRUE,Standardtal!C15,IF(Omkostninger!$B$39=TRUE,Standardtal!D15)))</f>
        <v>35</v>
      </c>
    </row>
    <row r="16" spans="1:15" ht="15">
      <c r="A16" s="48" t="s">
        <v>12</v>
      </c>
      <c r="B16" s="92">
        <v>4250</v>
      </c>
      <c r="C16" s="93">
        <v>3000</v>
      </c>
      <c r="D16" s="94">
        <v>3000</v>
      </c>
      <c r="E16" s="85"/>
      <c r="F16" s="49" t="s">
        <v>26</v>
      </c>
      <c r="G16" s="49"/>
      <c r="H16" s="50"/>
      <c r="I16" s="49"/>
      <c r="J16" s="51"/>
      <c r="O16" s="7">
        <f>IF(Omkostninger!$B$37=TRUE,Standardtal!B16,IF(Omkostninger!$B$38=TRUE,Standardtal!C16,IF(Omkostninger!$B$39=TRUE,Standardtal!D16)))</f>
        <v>4250</v>
      </c>
    </row>
    <row r="17" spans="1:15" ht="15">
      <c r="A17" s="21" t="s">
        <v>50</v>
      </c>
      <c r="B17" s="107">
        <v>11.5</v>
      </c>
      <c r="C17" s="95">
        <v>16.5</v>
      </c>
      <c r="D17" s="108">
        <v>18.5</v>
      </c>
      <c r="E17" s="96"/>
      <c r="F17" s="13" t="s">
        <v>51</v>
      </c>
      <c r="G17" s="13"/>
      <c r="H17" s="13"/>
      <c r="I17" s="13"/>
      <c r="J17" s="37"/>
      <c r="O17" s="7">
        <f>IF(Omkostninger!$B$37=TRUE,Standardtal!B17,IF(Omkostninger!$B$38=TRUE,Standardtal!C17,IF(Omkostninger!$B$39=TRUE,Standardtal!D17)))</f>
        <v>11.5</v>
      </c>
    </row>
    <row r="18" spans="1:9" ht="15">
      <c r="A18" s="7"/>
      <c r="B18" s="7"/>
      <c r="C18" s="7"/>
      <c r="D18" s="7"/>
      <c r="E18" s="7"/>
      <c r="F18" s="7"/>
      <c r="G18" s="7"/>
      <c r="H18" s="7"/>
      <c r="I18" s="7"/>
    </row>
    <row r="19" spans="2:9" ht="15">
      <c r="B19" s="7"/>
      <c r="C19" s="7"/>
      <c r="D19" s="7"/>
      <c r="E19" s="7"/>
      <c r="F19" s="7"/>
      <c r="G19" s="7"/>
      <c r="H19" s="7"/>
      <c r="I19" s="7"/>
    </row>
    <row r="20" spans="1:9" ht="15">
      <c r="A20" s="7"/>
      <c r="B20" s="7"/>
      <c r="C20" s="7"/>
      <c r="D20" s="7"/>
      <c r="E20" s="7"/>
      <c r="F20" s="7"/>
      <c r="G20" s="7"/>
      <c r="H20" s="7"/>
      <c r="I20" s="7"/>
    </row>
    <row r="21" spans="1:12" ht="15">
      <c r="A21" s="125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</row>
    <row r="22" spans="1:12" ht="15">
      <c r="A22" s="125"/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</row>
    <row r="23" spans="1:12" ht="15">
      <c r="A23" s="125"/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</row>
    <row r="24" spans="1:14" ht="15.75" thickBot="1">
      <c r="A24" s="125" t="s">
        <v>86</v>
      </c>
      <c r="B24" s="126" t="s">
        <v>52</v>
      </c>
      <c r="C24" s="126" t="s">
        <v>53</v>
      </c>
      <c r="D24" s="134" t="s">
        <v>54</v>
      </c>
      <c r="E24" s="125"/>
      <c r="F24" s="125" t="s">
        <v>112</v>
      </c>
      <c r="G24" s="125"/>
      <c r="H24" s="125"/>
      <c r="I24" s="125"/>
      <c r="J24" s="125"/>
      <c r="K24" s="132"/>
      <c r="L24" s="125"/>
      <c r="M24" s="132"/>
      <c r="N24" s="123"/>
    </row>
    <row r="25" spans="1:13" ht="15">
      <c r="A25" s="127" t="s">
        <v>87</v>
      </c>
      <c r="B25" s="128">
        <v>35</v>
      </c>
      <c r="C25" s="128">
        <v>43</v>
      </c>
      <c r="D25" s="128">
        <v>43</v>
      </c>
      <c r="E25" s="128"/>
      <c r="F25" s="128">
        <v>43</v>
      </c>
      <c r="G25" s="128" t="s">
        <v>109</v>
      </c>
      <c r="H25" s="128"/>
      <c r="I25" s="128"/>
      <c r="J25" s="128"/>
      <c r="K25" s="130"/>
      <c r="L25" s="128"/>
      <c r="M25" s="125"/>
    </row>
    <row r="26" spans="1:13" ht="15">
      <c r="A26" s="129" t="s">
        <v>88</v>
      </c>
      <c r="B26" s="130">
        <f>B25*B40</f>
        <v>178.5</v>
      </c>
      <c r="C26" s="130">
        <f>C25*B40</f>
        <v>219.29999999999998</v>
      </c>
      <c r="D26" s="130">
        <f>D25*B40</f>
        <v>219.29999999999998</v>
      </c>
      <c r="E26" s="130"/>
      <c r="F26" s="130">
        <v>219.3</v>
      </c>
      <c r="G26" s="130" t="s">
        <v>100</v>
      </c>
      <c r="H26" s="130"/>
      <c r="I26" s="130"/>
      <c r="J26" s="130"/>
      <c r="K26" s="125"/>
      <c r="L26" s="125"/>
      <c r="M26" s="125"/>
    </row>
    <row r="27" spans="1:13" ht="15">
      <c r="A27" s="129" t="s">
        <v>94</v>
      </c>
      <c r="B27" s="130">
        <v>19</v>
      </c>
      <c r="C27" s="130"/>
      <c r="D27" s="130"/>
      <c r="E27" s="130"/>
      <c r="F27" s="130"/>
      <c r="G27" s="130" t="s">
        <v>110</v>
      </c>
      <c r="H27" s="130"/>
      <c r="I27" s="130"/>
      <c r="J27" s="130"/>
      <c r="K27" s="125"/>
      <c r="L27" s="125"/>
      <c r="M27" s="125"/>
    </row>
    <row r="28" spans="1:13" ht="15">
      <c r="A28" s="129" t="s">
        <v>95</v>
      </c>
      <c r="B28" s="130">
        <v>38</v>
      </c>
      <c r="C28" s="130"/>
      <c r="D28" s="130"/>
      <c r="E28" s="130"/>
      <c r="F28" s="130"/>
      <c r="G28" s="130" t="s">
        <v>110</v>
      </c>
      <c r="H28" s="130"/>
      <c r="I28" s="130"/>
      <c r="J28" s="130"/>
      <c r="K28" s="125"/>
      <c r="L28" s="125"/>
      <c r="M28" s="125"/>
    </row>
    <row r="29" spans="1:13" ht="15">
      <c r="A29" s="129" t="s">
        <v>96</v>
      </c>
      <c r="B29" s="130">
        <v>63</v>
      </c>
      <c r="C29" s="130"/>
      <c r="D29" s="130"/>
      <c r="E29" s="130"/>
      <c r="F29" s="130"/>
      <c r="G29" s="130" t="s">
        <v>110</v>
      </c>
      <c r="H29" s="130"/>
      <c r="I29" s="130"/>
      <c r="J29" s="130"/>
      <c r="K29" s="130"/>
      <c r="L29" s="125"/>
      <c r="M29" s="125"/>
    </row>
    <row r="30" spans="1:13" ht="15">
      <c r="A30" s="129" t="s">
        <v>97</v>
      </c>
      <c r="B30" s="130">
        <v>126</v>
      </c>
      <c r="C30" s="130"/>
      <c r="D30" s="130"/>
      <c r="E30" s="130"/>
      <c r="F30" s="130"/>
      <c r="G30" s="130" t="s">
        <v>110</v>
      </c>
      <c r="H30" s="130"/>
      <c r="I30" s="130"/>
      <c r="J30" s="130"/>
      <c r="K30" s="125"/>
      <c r="L30" s="125"/>
      <c r="M30" s="125"/>
    </row>
    <row r="31" spans="1:13" ht="15">
      <c r="A31" s="129" t="s">
        <v>98</v>
      </c>
      <c r="B31" s="130">
        <v>189</v>
      </c>
      <c r="C31" s="130"/>
      <c r="D31" s="130"/>
      <c r="E31" s="130"/>
      <c r="F31" s="130"/>
      <c r="G31" s="130" t="s">
        <v>110</v>
      </c>
      <c r="H31" s="130"/>
      <c r="I31" s="130"/>
      <c r="J31" s="130"/>
      <c r="K31" s="125"/>
      <c r="L31" s="125"/>
      <c r="M31" s="125"/>
    </row>
    <row r="32" spans="1:13" ht="15">
      <c r="A32" s="129" t="s">
        <v>99</v>
      </c>
      <c r="B32" s="130">
        <v>239</v>
      </c>
      <c r="C32" s="130"/>
      <c r="D32" s="130"/>
      <c r="E32" s="130"/>
      <c r="F32" s="130"/>
      <c r="G32" s="130" t="s">
        <v>110</v>
      </c>
      <c r="H32" s="130"/>
      <c r="I32" s="130"/>
      <c r="J32" s="130"/>
      <c r="K32" s="125"/>
      <c r="L32" s="125"/>
      <c r="M32" s="125"/>
    </row>
    <row r="33" spans="1:13" ht="15">
      <c r="A33" s="129"/>
      <c r="B33" s="130"/>
      <c r="C33" s="130"/>
      <c r="D33" s="130"/>
      <c r="E33" s="130"/>
      <c r="F33" s="130"/>
      <c r="G33" s="130"/>
      <c r="H33" s="130"/>
      <c r="I33" s="130"/>
      <c r="J33" s="130"/>
      <c r="K33" s="125"/>
      <c r="L33" s="125"/>
      <c r="M33" s="125"/>
    </row>
    <row r="34" spans="1:13" ht="15">
      <c r="A34" s="129"/>
      <c r="B34" s="130"/>
      <c r="C34" s="130"/>
      <c r="D34" s="130"/>
      <c r="E34" s="130"/>
      <c r="F34" s="130"/>
      <c r="G34" s="130"/>
      <c r="H34" s="130"/>
      <c r="I34" s="130"/>
      <c r="J34" s="130"/>
      <c r="K34" s="125"/>
      <c r="L34" s="125"/>
      <c r="M34" s="125"/>
    </row>
    <row r="35" spans="1:14" ht="15.75" thickBot="1">
      <c r="A35" s="131"/>
      <c r="B35" s="132"/>
      <c r="C35" s="132"/>
      <c r="D35" s="132"/>
      <c r="E35" s="132"/>
      <c r="F35" s="132"/>
      <c r="G35" s="132"/>
      <c r="H35" s="132"/>
      <c r="I35" s="132"/>
      <c r="J35" s="132"/>
      <c r="K35" s="132"/>
      <c r="L35" s="132"/>
      <c r="M35" s="132"/>
      <c r="N35" s="123"/>
    </row>
    <row r="36" spans="1:13" ht="15">
      <c r="A36" s="125"/>
      <c r="B36" s="125"/>
      <c r="C36" s="125"/>
      <c r="D36" s="125"/>
      <c r="E36" s="125"/>
      <c r="F36" s="125"/>
      <c r="G36" s="125"/>
      <c r="H36" s="125"/>
      <c r="I36" s="125"/>
      <c r="J36" s="125"/>
      <c r="K36" s="125"/>
      <c r="L36" s="125"/>
      <c r="M36" s="125"/>
    </row>
    <row r="37" spans="1:13" ht="15.75">
      <c r="A37" s="133" t="s">
        <v>23</v>
      </c>
      <c r="B37" s="125"/>
      <c r="C37" s="125"/>
      <c r="D37" s="125"/>
      <c r="E37" s="125"/>
      <c r="F37" s="125"/>
      <c r="G37" s="125"/>
      <c r="H37" s="125"/>
      <c r="I37" s="125"/>
      <c r="J37" s="125"/>
      <c r="K37" s="125"/>
      <c r="L37" s="125"/>
      <c r="M37" s="125"/>
    </row>
    <row r="38" spans="1:13" ht="15">
      <c r="A38" s="7" t="s">
        <v>111</v>
      </c>
      <c r="B38" s="125"/>
      <c r="C38" s="125"/>
      <c r="D38" s="125"/>
      <c r="E38" s="125"/>
      <c r="F38" s="125"/>
      <c r="G38" s="125"/>
      <c r="H38" s="125"/>
      <c r="I38" s="125"/>
      <c r="J38" s="125"/>
      <c r="K38" s="125"/>
      <c r="L38" s="125"/>
      <c r="M38" s="125"/>
    </row>
    <row r="39" spans="1:14" ht="15">
      <c r="A39" s="7" t="s">
        <v>113</v>
      </c>
      <c r="B39" s="125">
        <v>50</v>
      </c>
      <c r="C39" s="125" t="s">
        <v>114</v>
      </c>
      <c r="D39" s="125"/>
      <c r="E39" s="125"/>
      <c r="F39" s="125"/>
      <c r="G39" s="140" t="s">
        <v>115</v>
      </c>
      <c r="H39" s="140"/>
      <c r="I39" s="140"/>
      <c r="J39" s="140"/>
      <c r="K39" s="140"/>
      <c r="L39" s="140"/>
      <c r="M39" s="140"/>
      <c r="N39" s="140"/>
    </row>
    <row r="40" spans="1:13" ht="15">
      <c r="A40" s="125" t="s">
        <v>108</v>
      </c>
      <c r="B40" s="125">
        <v>5.1</v>
      </c>
      <c r="C40" s="125" t="s">
        <v>89</v>
      </c>
      <c r="D40" s="125"/>
      <c r="E40" s="125"/>
      <c r="F40" s="125"/>
      <c r="G40" s="125" t="s">
        <v>90</v>
      </c>
      <c r="H40" s="125"/>
      <c r="I40" s="125"/>
      <c r="J40" s="125"/>
      <c r="K40" s="125"/>
      <c r="L40" s="125"/>
      <c r="M40" s="125"/>
    </row>
    <row r="41" spans="1:13" ht="15">
      <c r="A41" s="125" t="s">
        <v>91</v>
      </c>
      <c r="B41" s="126">
        <v>1</v>
      </c>
      <c r="C41" s="125" t="s">
        <v>93</v>
      </c>
      <c r="D41" s="125"/>
      <c r="E41" s="125"/>
      <c r="F41" s="125"/>
      <c r="G41" s="125" t="s">
        <v>92</v>
      </c>
      <c r="H41" s="125"/>
      <c r="I41" s="125"/>
      <c r="J41" s="125"/>
      <c r="K41" s="125"/>
      <c r="L41" s="125"/>
      <c r="M41" s="125"/>
    </row>
    <row r="42" spans="1:13" ht="15">
      <c r="A42" s="125" t="s">
        <v>105</v>
      </c>
      <c r="B42" s="125">
        <v>7.5</v>
      </c>
      <c r="C42" s="125" t="s">
        <v>103</v>
      </c>
      <c r="D42" s="125"/>
      <c r="E42" s="125"/>
      <c r="F42" s="125"/>
      <c r="G42" s="125" t="s">
        <v>104</v>
      </c>
      <c r="H42" s="125"/>
      <c r="I42" s="125"/>
      <c r="J42" s="125"/>
      <c r="K42" s="125"/>
      <c r="L42" s="125"/>
      <c r="M42" s="125"/>
    </row>
    <row r="43" spans="1:13" ht="15">
      <c r="A43" s="125" t="s">
        <v>106</v>
      </c>
      <c r="B43" s="125">
        <v>8</v>
      </c>
      <c r="C43" s="125" t="s">
        <v>103</v>
      </c>
      <c r="D43" s="125"/>
      <c r="E43" s="125"/>
      <c r="F43" s="125"/>
      <c r="G43" s="125" t="s">
        <v>104</v>
      </c>
      <c r="H43" s="125"/>
      <c r="I43" s="125"/>
      <c r="J43" s="125"/>
      <c r="K43" s="125"/>
      <c r="L43" s="125"/>
      <c r="M43" s="125"/>
    </row>
    <row r="44" spans="1:13" ht="15">
      <c r="A44" s="125" t="s">
        <v>107</v>
      </c>
      <c r="B44" s="125">
        <v>24</v>
      </c>
      <c r="C44" s="125" t="s">
        <v>103</v>
      </c>
      <c r="D44" s="125"/>
      <c r="E44" s="125"/>
      <c r="F44" s="125"/>
      <c r="G44" s="125" t="s">
        <v>104</v>
      </c>
      <c r="H44" s="125"/>
      <c r="I44" s="125"/>
      <c r="J44" s="125"/>
      <c r="K44" s="125"/>
      <c r="L44" s="125"/>
      <c r="M44" s="125"/>
    </row>
    <row r="45" spans="1:13" ht="15">
      <c r="A45" s="125"/>
      <c r="B45" s="125"/>
      <c r="C45" s="125"/>
      <c r="D45" s="125"/>
      <c r="E45" s="125"/>
      <c r="F45" s="125"/>
      <c r="G45" s="125"/>
      <c r="H45" s="125"/>
      <c r="I45" s="125"/>
      <c r="J45" s="125"/>
      <c r="L45" s="125"/>
      <c r="M45" s="125"/>
    </row>
  </sheetData>
  <sheetProtection/>
  <mergeCells count="1">
    <mergeCell ref="G39:N39"/>
  </mergeCells>
  <printOptions/>
  <pageMargins left="0.75" right="0.75" top="1" bottom="1" header="0" footer="0"/>
  <pageSetup fitToHeight="1" fitToWidth="1" horizontalDpi="300" verticalDpi="300" orientation="portrait" paperSize="9" scale="7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6">
    <pageSetUpPr fitToPage="1"/>
  </sheetPr>
  <dimension ref="A1:H61"/>
  <sheetViews>
    <sheetView showOutlineSymbols="0" zoomScalePageLayoutView="0" workbookViewId="0" topLeftCell="A1">
      <selection activeCell="A1" sqref="A1"/>
    </sheetView>
  </sheetViews>
  <sheetFormatPr defaultColWidth="9.140625" defaultRowHeight="12.75"/>
  <cols>
    <col min="1" max="1" width="31.7109375" style="0" customWidth="1"/>
    <col min="5" max="5" width="10.57421875" style="0" bestFit="1" customWidth="1"/>
    <col min="6" max="6" width="18.8515625" style="0" customWidth="1"/>
  </cols>
  <sheetData>
    <row r="1" spans="4:6" ht="12.75">
      <c r="D1" s="101" t="s">
        <v>10</v>
      </c>
      <c r="E1" s="101"/>
      <c r="F1" s="102">
        <f ca="1">TODAY()</f>
        <v>40367</v>
      </c>
    </row>
    <row r="2" ht="15" customHeight="1">
      <c r="A2" s="97"/>
    </row>
    <row r="3" spans="1:8" ht="19.5" customHeight="1">
      <c r="A3" s="103" t="s">
        <v>7</v>
      </c>
      <c r="G3" s="142"/>
      <c r="H3" s="142"/>
    </row>
    <row r="4" spans="1:2" ht="21" customHeight="1">
      <c r="A4">
        <f>IF(Omkostninger!$N$2&lt;&gt;"","Beregningen foretaget for:","")</f>
      </c>
      <c r="B4">
        <f>IF(Omkostninger!$N$2&lt;&gt;"",Omkostninger!N2,"")</f>
      </c>
    </row>
    <row r="7" spans="1:5" ht="15.75">
      <c r="A7" t="s">
        <v>82</v>
      </c>
      <c r="E7" s="104" t="str">
        <f>IF(Omkostninger!B37=TRUE,"Slangeudlægning",IF(Omkostninger!B38=TRUE,"Sortjordsnedfældning","Græsmarksnedfældning"))</f>
        <v>Slangeudlægning</v>
      </c>
    </row>
    <row r="9" ht="12.75">
      <c r="A9" s="99" t="s">
        <v>60</v>
      </c>
    </row>
    <row r="10" spans="1:6" ht="12.75">
      <c r="A10" t="str">
        <f>Omkostninger!F5</f>
        <v>Investering, kr.</v>
      </c>
      <c r="E10" s="98">
        <f>Omkostninger!G5</f>
        <v>1400000</v>
      </c>
      <c r="F10" t="str">
        <f>Omkostninger!H5</f>
        <v>kr.</v>
      </c>
    </row>
    <row r="11" spans="1:6" ht="12.75">
      <c r="A11" t="str">
        <f>Omkostninger!F7</f>
        <v>Rente. pct. p.a.</v>
      </c>
      <c r="E11" s="109">
        <f>Omkostninger!G7</f>
        <v>5</v>
      </c>
      <c r="F11" t="str">
        <f>Omkostninger!H7</f>
        <v>pct. p.a.</v>
      </c>
    </row>
    <row r="12" spans="1:6" ht="12.75">
      <c r="A12" t="str">
        <f>Omkostninger!F9</f>
        <v>Inflation, pct. p.a.*</v>
      </c>
      <c r="E12" s="109">
        <f>Omkostninger!G9</f>
        <v>0</v>
      </c>
      <c r="F12" t="str">
        <f>Omkostninger!H9</f>
        <v>pct. p.a.</v>
      </c>
    </row>
    <row r="13" spans="1:6" ht="12.75">
      <c r="A13" t="str">
        <f>Omkostninger!F11</f>
        <v>Årlig afskrivning, pct. af saldo</v>
      </c>
      <c r="E13">
        <f>Omkostninger!G11</f>
        <v>15</v>
      </c>
      <c r="F13" t="str">
        <f>Omkostninger!H11</f>
        <v>pct.</v>
      </c>
    </row>
    <row r="14" spans="1:6" ht="12.75">
      <c r="A14" t="str">
        <f>Omkostninger!F13</f>
        <v>Beregningsperiode, antal år</v>
      </c>
      <c r="E14">
        <f>Omkostninger!G13</f>
        <v>10</v>
      </c>
      <c r="F14" t="str">
        <f>Omkostninger!H13</f>
        <v>år</v>
      </c>
    </row>
    <row r="15" spans="1:6" ht="12.75">
      <c r="A15" t="str">
        <f>Omkostninger!F17</f>
        <v>Vedligehold, øre pr. ton gylle</v>
      </c>
      <c r="E15">
        <f>Omkostninger!G17</f>
        <v>10</v>
      </c>
      <c r="F15" t="str">
        <f>Omkostninger!H17</f>
        <v>øre pr. ton</v>
      </c>
    </row>
    <row r="16" spans="1:6" ht="12.75">
      <c r="A16" t="str">
        <f>Omkostninger!F19</f>
        <v>Timeløn til traktorfører</v>
      </c>
      <c r="E16">
        <f>Omkostninger!G19</f>
        <v>116</v>
      </c>
      <c r="F16" t="str">
        <f>Omkostninger!H19</f>
        <v>kr. pr. time</v>
      </c>
    </row>
    <row r="17" spans="1:6" ht="12.75">
      <c r="A17" t="s">
        <v>76</v>
      </c>
      <c r="E17">
        <f>Omkostninger!G21</f>
        <v>228.5</v>
      </c>
      <c r="F17" t="str">
        <f>Omkostninger!H21</f>
        <v>kr. pr. time</v>
      </c>
    </row>
    <row r="18" spans="1:6" ht="12.75">
      <c r="A18" t="str">
        <f>Omkostninger!F23</f>
        <v>Ton pr. læs</v>
      </c>
      <c r="E18">
        <f>Omkostninger!G23</f>
        <v>25</v>
      </c>
      <c r="F18" t="str">
        <f>Omkostninger!H23</f>
        <v>ton pr. læs</v>
      </c>
    </row>
    <row r="19" spans="1:6" ht="12.75">
      <c r="A19" t="str">
        <f>Omkostninger!F25</f>
        <v>Læs pr. time</v>
      </c>
      <c r="E19" s="109">
        <f>Omkostninger!G25</f>
        <v>2.7</v>
      </c>
      <c r="F19" t="str">
        <f>Omkostninger!H25</f>
        <v>læs pr. time</v>
      </c>
    </row>
    <row r="20" spans="1:6" ht="12.75">
      <c r="A20" t="str">
        <f>Omkostninger!F27</f>
        <v>Ton pr. ha</v>
      </c>
      <c r="E20">
        <f>Omkostninger!G27</f>
        <v>35</v>
      </c>
      <c r="F20" t="str">
        <f>Omkostninger!H27</f>
        <v>ton pr. ha</v>
      </c>
    </row>
    <row r="21" spans="1:6" ht="12.75">
      <c r="A21" t="str">
        <f>Omkostninger!F29</f>
        <v>Ton pr. år</v>
      </c>
      <c r="E21" s="98">
        <f>Omkostninger!G29</f>
        <v>4250</v>
      </c>
      <c r="F21" t="str">
        <f>Omkostninger!H29</f>
        <v>ton pr. år</v>
      </c>
    </row>
    <row r="22" spans="1:6" ht="12.75">
      <c r="A22" t="str">
        <f>Omkostninger!F31</f>
        <v>Maskinstationspris</v>
      </c>
      <c r="E22" s="100">
        <f>Omkostninger!G31</f>
        <v>11.5</v>
      </c>
      <c r="F22" t="str">
        <f>Omkostninger!H31</f>
        <v>kr. pr. ton</v>
      </c>
    </row>
    <row r="24" ht="12.75">
      <c r="A24" s="99" t="str">
        <f>Omkostninger!F33</f>
        <v>Nøgletal:</v>
      </c>
    </row>
    <row r="25" spans="1:6" ht="12.75">
      <c r="A25" t="str">
        <f>Omkostninger!F34</f>
        <v>Arbejdsbehov</v>
      </c>
      <c r="E25" s="106">
        <f>Omkostninger!J34</f>
        <v>62.96296296296296</v>
      </c>
      <c r="F25" t="str">
        <f>Omkostninger!K34</f>
        <v>timer pr. år</v>
      </c>
    </row>
    <row r="26" spans="1:6" ht="12.75">
      <c r="A26" t="str">
        <f>Omkostninger!F35</f>
        <v>Omkostning pr. ton</v>
      </c>
      <c r="E26" s="100">
        <f>Omkostninger!J35</f>
        <v>42.707944357227994</v>
      </c>
      <c r="F26" t="str">
        <f>Omkostninger!K35</f>
        <v>kr. pr. ton</v>
      </c>
    </row>
    <row r="27" spans="1:6" ht="12.75">
      <c r="A27" t="str">
        <f>Omkostninger!F36</f>
        <v>Ligevægtsmængde (egen omkostning = maskinstation)</v>
      </c>
      <c r="E27" s="98">
        <f>Omkostninger!J36</f>
        <v>25315.3624411289</v>
      </c>
      <c r="F27" t="str">
        <f>Omkostninger!K36</f>
        <v>ton pr. år</v>
      </c>
    </row>
    <row r="28" spans="1:6" ht="12.75">
      <c r="A28" t="str">
        <f>Omkostninger!F37</f>
        <v>Gennemsnitlig årlig omkostning til forrentning og afskrivning</v>
      </c>
      <c r="E28" s="98">
        <f>Omkostninger!J37</f>
        <v>159393.02277747824</v>
      </c>
      <c r="F28" t="str">
        <f>Omkostninger!K37</f>
        <v>kr.</v>
      </c>
    </row>
    <row r="29" spans="1:6" ht="12.75">
      <c r="A29" s="141">
        <f>Omkostninger!F38</f>
        <v>10</v>
      </c>
      <c r="B29" s="141"/>
      <c r="E29" s="98">
        <f>Omkostninger!J38</f>
        <v>275624.1660770116</v>
      </c>
      <c r="F29" t="str">
        <f>Omkostninger!K38</f>
        <v>kr.</v>
      </c>
    </row>
    <row r="59" spans="1:3" ht="12.75">
      <c r="A59" s="143"/>
      <c r="B59" s="143"/>
      <c r="C59" s="143"/>
    </row>
    <row r="61" ht="12.75">
      <c r="A61" s="112"/>
    </row>
  </sheetData>
  <sheetProtection/>
  <mergeCells count="3">
    <mergeCell ref="A29:B29"/>
    <mergeCell ref="G3:H3"/>
    <mergeCell ref="A59:C59"/>
  </mergeCells>
  <printOptions/>
  <pageMargins left="1.12" right="0.75" top="1" bottom="0.38" header="0" footer="0"/>
  <pageSetup fitToHeight="1" fitToWidth="1" horizontalDpi="300" verticalDpi="300" orientation="portrait" paperSize="9" scale="9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7"/>
  <dimension ref="A1:A1"/>
  <sheetViews>
    <sheetView zoomScalePageLayoutView="0" workbookViewId="0" topLeftCell="A1">
      <selection activeCell="C3" sqref="C3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8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9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10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Ark11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Birkmose &amp; Hertz</dc:creator>
  <cp:keywords/>
  <dc:description/>
  <cp:lastModifiedBy>Peter Hahn</cp:lastModifiedBy>
  <cp:lastPrinted>2009-09-21T07:00:40Z</cp:lastPrinted>
  <dcterms:created xsi:type="dcterms:W3CDTF">2001-08-19T14:32:53Z</dcterms:created>
  <dcterms:modified xsi:type="dcterms:W3CDTF">2010-07-08T13:59:06Z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-1290859509</vt:i4>
  </property>
  <property fmtid="{D5CDD505-2E9C-101B-9397-08002B2CF9AE}" pid="3" name="_NewReviewCycle">
    <vt:lpwstr/>
  </property>
  <property fmtid="{D5CDD505-2E9C-101B-9397-08002B2CF9AE}" pid="4" name="_EmailSubject">
    <vt:lpwstr>Hjælp til upload af dokumenter</vt:lpwstr>
  </property>
  <property fmtid="{D5CDD505-2E9C-101B-9397-08002B2CF9AE}" pid="5" name="_AuthorEmail">
    <vt:lpwstr>pehan@mst.dk</vt:lpwstr>
  </property>
  <property fmtid="{D5CDD505-2E9C-101B-9397-08002B2CF9AE}" pid="6" name="_AuthorEmailDisplayName">
    <vt:lpwstr>Hahn, Peter</vt:lpwstr>
  </property>
  <property fmtid="{D5CDD505-2E9C-101B-9397-08002B2CF9AE}" pid="7" name="_ReviewingToolsShownOnce">
    <vt:lpwstr/>
  </property>
</Properties>
</file>